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C1C58B03-3097-4D03-959C-1134A479D56A}" xr6:coauthVersionLast="47" xr6:coauthVersionMax="47" xr10:uidLastSave="{00000000-0000-0000-0000-000000000000}"/>
  <workbookProtection workbookAlgorithmName="SHA-512" workbookHashValue="CAmAtIJfCwXdbrV5ryje926Rbx+9C5WZe16dOzUGWYvaerAGMeVp8u+uaP0KLqVTdeetRBsUSpxwEQJS/IB6uw==" workbookSaltValue="dNyKZv8lzbt2q7hBouaWEw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  <sheet name="PS max" sheetId="6" r:id="rId4"/>
    <sheet name="Dekod" sheetId="7" state="hidden" r:id="rId5"/>
  </sheets>
  <definedNames>
    <definedName name="gal_m3">Data!#REF!</definedName>
    <definedName name="Hodnoty" localSheetId="4">Dekod!$D$7:$D$58</definedName>
    <definedName name="Hodnoty">Specifikace!$D$5:$D$57</definedName>
    <definedName name="HodnotyHW" localSheetId="4">Dekod!$D$7:$D$23</definedName>
    <definedName name="HodnotyHW">Specifikace!$D$5:$D$22</definedName>
    <definedName name="KodyOC" localSheetId="4">Dekod!$E$7:$E$58</definedName>
    <definedName name="KodyOC">Specifikace!$E$5:$E$57</definedName>
    <definedName name="KodyOC_HW" localSheetId="4">Dekod!$E$7:$E$23</definedName>
    <definedName name="KodyOC_HW">Specifikace!$E$5:$E$22</definedName>
    <definedName name="NezadanHW">Tech!$F$2</definedName>
    <definedName name="Nezadano">Tech!$F$1</definedName>
    <definedName name="_xlnm.Print_Area" localSheetId="4">Dekod!$B$1:$E$66</definedName>
    <definedName name="_xlnm.Print_Area" localSheetId="0">Specifikace!$B$1:$E$74</definedName>
    <definedName name="OC_ACH">Data!$A$191:$A$192</definedName>
    <definedName name="OC_B">Data!$A$297:$A$299</definedName>
    <definedName name="OC_CE">Data!$A$250:$A$259</definedName>
    <definedName name="OC_D">Data!$A$140:$A$141</definedName>
    <definedName name="OC_DC">Data!$A$11:$A$37</definedName>
    <definedName name="OC_DK">Data!$A$125:$A$132</definedName>
    <definedName name="OC_DM">Data!$A$134:$A$135</definedName>
    <definedName name="OC_DTdPED">Data!$A$106:$A$111</definedName>
    <definedName name="OC_FR">Data!$A$247:$A$248</definedName>
    <definedName name="OC_FVOUT1">Data!$A$205:$A$224</definedName>
    <definedName name="OC_FVOUT2">Data!$A$226:$A$245</definedName>
    <definedName name="OC_IC">Data!$A$165:$A$173</definedName>
    <definedName name="OC_INP">Data!$A$103:$A$104</definedName>
    <definedName name="OC_JIC">Data!$A$176:$A$179</definedName>
    <definedName name="OC_JT">Data!$A$74:$A$79</definedName>
    <definedName name="OC_JZP">Data!$A$154:$A$163</definedName>
    <definedName name="OC_K">Data!$A$289:$A$293</definedName>
    <definedName name="OC_KC">Data!$A$70:$A$72</definedName>
    <definedName name="OC_KdPED">Data!$A$114:$A$117</definedName>
    <definedName name="OC_KSE">Data!$A$100:$A$101</definedName>
    <definedName name="OC_MaPUC">Data!$A$47:$A$50</definedName>
    <definedName name="OC_MDT">Data!$A$91:$A$92</definedName>
    <definedName name="OC_ME">Data!$A$52:$A$57</definedName>
    <definedName name="OC_MPTM">Data!$A$81:$A$89</definedName>
    <definedName name="OC_N">Data!$A$94:$A$98</definedName>
    <definedName name="OC_NM">Data!$A$137:$A$138</definedName>
    <definedName name="OC_P">Data!$A$283:$A$287</definedName>
    <definedName name="OC_PC">Data!$A$39:$A$45</definedName>
    <definedName name="OC_PMC">Data!$A$2:$A$4</definedName>
    <definedName name="OC_PV_PpIQ">Data!$A$194:$A$203</definedName>
    <definedName name="OC_PVpP">Data!$A$150:$A$151</definedName>
    <definedName name="OC_R">Data!$A$267:$A$268</definedName>
    <definedName name="OC_RP">Data!$A$275:$A$280</definedName>
    <definedName name="OC_VaPP">Data!$A$6:$A$9</definedName>
    <definedName name="OC_VC">Data!$A$62:$A$68</definedName>
    <definedName name="OC_VD">Data!$A$144:$A$148</definedName>
    <definedName name="OC_VPvNM">Data!$A$182:$A$189</definedName>
    <definedName name="OC_Z">Data!$A$306:$A$311</definedName>
    <definedName name="OC_ZE">Data!$A$59:$A$60</definedName>
    <definedName name="OC_ZJ">Data!$A$261:$A$265</definedName>
    <definedName name="OC_ZK">Data!$A$121:$A$122</definedName>
    <definedName name="OC_ZP">Data!$A$301:$A$304</definedName>
    <definedName name="Parametry" localSheetId="4">Dekod!$B$6:$C$58</definedName>
    <definedName name="Parametry">Specifikace!$B$4:$C$58</definedName>
    <definedName name="Preddef_hodn">Data!$A$1:$B$311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8" i="1" l="1"/>
  <c r="E9" i="1" l="1"/>
  <c r="E19" i="1" l="1"/>
  <c r="E24" i="1" l="1"/>
  <c r="E38" i="1" l="1"/>
  <c r="E58" i="7" l="1"/>
  <c r="E56" i="7"/>
  <c r="E55" i="7"/>
  <c r="E54" i="7"/>
  <c r="E51" i="7"/>
  <c r="E53" i="7"/>
  <c r="D53" i="7" s="1"/>
  <c r="E49" i="7"/>
  <c r="E48" i="7"/>
  <c r="D48" i="7" s="1"/>
  <c r="E47" i="7"/>
  <c r="D47" i="7" s="1"/>
  <c r="E46" i="7"/>
  <c r="D46" i="7" s="1"/>
  <c r="E45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D32" i="3" l="1"/>
  <c r="D33" i="3"/>
  <c r="D34" i="3"/>
  <c r="A31" i="3"/>
  <c r="A32" i="3"/>
  <c r="A33" i="3"/>
  <c r="A34" i="3"/>
  <c r="C33" i="3"/>
  <c r="C32" i="3"/>
  <c r="E23" i="1"/>
  <c r="D56" i="7" l="1"/>
  <c r="D55" i="7"/>
  <c r="D54" i="7"/>
  <c r="D51" i="7"/>
  <c r="D49" i="7"/>
  <c r="D45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6" i="7" l="1"/>
  <c r="D25" i="7"/>
  <c r="D24" i="7"/>
  <c r="D23" i="7"/>
  <c r="D22" i="7"/>
  <c r="D21" i="7"/>
  <c r="D20" i="7"/>
  <c r="D19" i="7"/>
  <c r="D18" i="7"/>
  <c r="E7" i="7"/>
  <c r="D7" i="7" s="1"/>
  <c r="D17" i="7"/>
  <c r="D16" i="7"/>
  <c r="D15" i="7"/>
  <c r="D14" i="7"/>
  <c r="D13" i="7"/>
  <c r="D12" i="7"/>
  <c r="D11" i="7"/>
  <c r="D10" i="7"/>
  <c r="E8" i="7"/>
  <c r="D8" i="7" s="1"/>
  <c r="E15" i="1" l="1"/>
  <c r="E50" i="1" l="1"/>
  <c r="H50" i="1" s="1"/>
  <c r="E53" i="1" l="1"/>
  <c r="E40" i="1"/>
  <c r="E33" i="1"/>
  <c r="B32" i="3" s="1"/>
  <c r="E31" i="1"/>
  <c r="E16" i="1" l="1"/>
  <c r="H16" i="1" s="1"/>
  <c r="E6" i="1" l="1"/>
  <c r="G14" i="1" s="1"/>
  <c r="E5" i="1"/>
  <c r="C9" i="1" s="1"/>
  <c r="E52" i="1"/>
  <c r="H15" i="1" l="1"/>
  <c r="H9" i="1"/>
  <c r="H36" i="1"/>
  <c r="H35" i="1"/>
  <c r="E35" i="1"/>
  <c r="E36" i="1"/>
  <c r="E32" i="1"/>
  <c r="H29" i="1"/>
  <c r="H32" i="1"/>
  <c r="E29" i="1"/>
  <c r="E30" i="1" s="1"/>
  <c r="E25" i="1"/>
  <c r="H25" i="1" s="1"/>
  <c r="G9" i="1"/>
  <c r="G8" i="1"/>
  <c r="G15" i="1"/>
  <c r="G16" i="1"/>
  <c r="G13" i="1"/>
  <c r="H8" i="1"/>
  <c r="B51" i="3"/>
  <c r="G51" i="3" s="1"/>
  <c r="H30" i="1" l="1"/>
  <c r="E44" i="1"/>
  <c r="E39" i="1"/>
  <c r="E37" i="1"/>
  <c r="E28" i="1"/>
  <c r="E27" i="1"/>
  <c r="E21" i="1"/>
  <c r="H22" i="1" s="1"/>
  <c r="E20" i="1"/>
  <c r="H20" i="1" s="1"/>
  <c r="E18" i="1"/>
  <c r="H14" i="1"/>
  <c r="E11" i="1"/>
  <c r="H24" i="1" s="1"/>
  <c r="H45" i="1" l="1"/>
  <c r="H46" i="1"/>
  <c r="E47" i="1"/>
  <c r="H39" i="1"/>
  <c r="H47" i="1"/>
  <c r="E46" i="1"/>
  <c r="B45" i="3" s="1"/>
  <c r="G45" i="3" s="1"/>
  <c r="E45" i="1"/>
  <c r="E22" i="1"/>
  <c r="E48" i="1"/>
  <c r="H48" i="1" s="1"/>
  <c r="A6" i="3"/>
  <c r="C6" i="3"/>
  <c r="A7" i="3"/>
  <c r="B7" i="3"/>
  <c r="G7" i="3" s="1"/>
  <c r="C7" i="3"/>
  <c r="A8" i="3"/>
  <c r="C8" i="3"/>
  <c r="A9" i="3"/>
  <c r="C9" i="3"/>
  <c r="A10" i="3"/>
  <c r="C10" i="3"/>
  <c r="A11" i="3"/>
  <c r="C11" i="3"/>
  <c r="A12" i="3"/>
  <c r="C12" i="3"/>
  <c r="A13" i="3"/>
  <c r="C13" i="3"/>
  <c r="A14" i="3"/>
  <c r="C14" i="3"/>
  <c r="A15" i="3"/>
  <c r="C15" i="3"/>
  <c r="A16" i="3"/>
  <c r="C16" i="3"/>
  <c r="A17" i="3"/>
  <c r="C17" i="3"/>
  <c r="A18" i="3"/>
  <c r="C18" i="3"/>
  <c r="A19" i="3"/>
  <c r="C19" i="3"/>
  <c r="A20" i="3"/>
  <c r="C20" i="3"/>
  <c r="A21" i="3"/>
  <c r="C21" i="3"/>
  <c r="A22" i="3"/>
  <c r="C22" i="3"/>
  <c r="A23" i="3"/>
  <c r="C23" i="3"/>
  <c r="A24" i="3"/>
  <c r="C24" i="3"/>
  <c r="A25" i="3"/>
  <c r="B25" i="3"/>
  <c r="G25" i="3" s="1"/>
  <c r="C25" i="3"/>
  <c r="A26" i="3"/>
  <c r="C26" i="3"/>
  <c r="A27" i="3"/>
  <c r="C27" i="3"/>
  <c r="A28" i="3"/>
  <c r="C28" i="3"/>
  <c r="A29" i="3"/>
  <c r="A30" i="3"/>
  <c r="C30" i="3"/>
  <c r="C31" i="3"/>
  <c r="C34" i="3"/>
  <c r="A35" i="3"/>
  <c r="C35" i="3"/>
  <c r="A36" i="3"/>
  <c r="C36" i="3"/>
  <c r="A37" i="3"/>
  <c r="C37" i="3"/>
  <c r="A38" i="3"/>
  <c r="C38" i="3"/>
  <c r="A39" i="3"/>
  <c r="C39" i="3"/>
  <c r="A40" i="3"/>
  <c r="C40" i="3"/>
  <c r="A41" i="3"/>
  <c r="C41" i="3"/>
  <c r="A42" i="3"/>
  <c r="B42" i="3"/>
  <c r="G42" i="3" s="1"/>
  <c r="C42" i="3"/>
  <c r="A43" i="3"/>
  <c r="C43" i="3"/>
  <c r="A44" i="3"/>
  <c r="C44" i="3"/>
  <c r="A45" i="3"/>
  <c r="C45" i="3"/>
  <c r="A46" i="3"/>
  <c r="C46" i="3"/>
  <c r="A47" i="3"/>
  <c r="C47" i="3"/>
  <c r="A48" i="3"/>
  <c r="B48" i="3"/>
  <c r="G48" i="3" s="1"/>
  <c r="C48" i="3"/>
  <c r="A49" i="3"/>
  <c r="C49" i="3"/>
  <c r="A50" i="3"/>
  <c r="B50" i="3"/>
  <c r="G50" i="3" s="1"/>
  <c r="C50" i="3"/>
  <c r="A51" i="3"/>
  <c r="C51" i="3"/>
  <c r="A52" i="3"/>
  <c r="C52" i="3"/>
  <c r="A53" i="3"/>
  <c r="C53" i="3"/>
  <c r="A54" i="3"/>
  <c r="C54" i="3"/>
  <c r="A55" i="3"/>
  <c r="B55" i="3"/>
  <c r="G55" i="3" s="1"/>
  <c r="C55" i="3"/>
  <c r="A56" i="3"/>
  <c r="B56" i="3"/>
  <c r="G56" i="3" s="1"/>
  <c r="C56" i="3"/>
  <c r="D55" i="3"/>
  <c r="D5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B44" i="3" l="1"/>
  <c r="G44" i="3" s="1"/>
  <c r="B38" i="3"/>
  <c r="G38" i="3" s="1"/>
  <c r="E12" i="1" l="1"/>
  <c r="G24" i="1" l="1"/>
  <c r="B12" i="3"/>
  <c r="G12" i="3" s="1"/>
  <c r="E17" i="1"/>
  <c r="B17" i="3" s="1"/>
  <c r="G17" i="3" s="1"/>
  <c r="B23" i="3" l="1"/>
  <c r="G23" i="3" s="1"/>
  <c r="B22" i="3" l="1"/>
  <c r="G22" i="3" s="1"/>
  <c r="B21" i="3" l="1"/>
  <c r="G21" i="3" s="1"/>
  <c r="B20" i="3"/>
  <c r="G20" i="3" s="1"/>
  <c r="H21" i="1" l="1"/>
  <c r="E42" i="1"/>
  <c r="B41" i="3" l="1"/>
  <c r="G41" i="3" s="1"/>
  <c r="B47" i="3"/>
  <c r="G47" i="3" s="1"/>
  <c r="E13" i="1"/>
  <c r="E10" i="1"/>
  <c r="H13" i="1" l="1"/>
  <c r="B13" i="3"/>
  <c r="G13" i="3" s="1"/>
  <c r="B11" i="3"/>
  <c r="G11" i="3" s="1"/>
  <c r="B10" i="3"/>
  <c r="G10" i="3" s="1"/>
  <c r="B24" i="3" l="1"/>
  <c r="G24" i="3" s="1"/>
  <c r="A5" i="3"/>
  <c r="D5" i="3"/>
  <c r="C5" i="3"/>
  <c r="E55" i="1" l="1"/>
  <c r="E54" i="1"/>
  <c r="B49" i="3" l="1"/>
  <c r="G49" i="3" s="1"/>
  <c r="B46" i="3"/>
  <c r="G46" i="3" s="1"/>
  <c r="B54" i="3"/>
  <c r="G54" i="3" s="1"/>
  <c r="B53" i="3"/>
  <c r="G53" i="3" s="1"/>
  <c r="B52" i="3"/>
  <c r="G52" i="3" s="1"/>
  <c r="E41" i="1"/>
  <c r="B37" i="3"/>
  <c r="G37" i="3" s="1"/>
  <c r="H34" i="1"/>
  <c r="B19" i="3"/>
  <c r="G19" i="3" s="1"/>
  <c r="B16" i="3"/>
  <c r="G16" i="3" s="1"/>
  <c r="B29" i="3" l="1"/>
  <c r="G29" i="3" s="1"/>
  <c r="E34" i="1"/>
  <c r="B15" i="3"/>
  <c r="G15" i="3" s="1"/>
  <c r="F2" i="3"/>
  <c r="C29" i="3"/>
  <c r="B43" i="3"/>
  <c r="G43" i="3" s="1"/>
  <c r="B36" i="3"/>
  <c r="G36" i="3" s="1"/>
  <c r="B26" i="3"/>
  <c r="G26" i="3" s="1"/>
  <c r="B31" i="3"/>
  <c r="G31" i="3" s="1"/>
  <c r="B35" i="3"/>
  <c r="G35" i="3" s="1"/>
  <c r="B39" i="3"/>
  <c r="G39" i="3" s="1"/>
  <c r="B30" i="3"/>
  <c r="G30" i="3" s="1"/>
  <c r="B34" i="3"/>
  <c r="G34" i="3" s="1"/>
  <c r="B18" i="3"/>
  <c r="G18" i="3" s="1"/>
  <c r="B27" i="3"/>
  <c r="G27" i="3" s="1"/>
  <c r="B40" i="3"/>
  <c r="G40" i="3" s="1"/>
  <c r="B28" i="3"/>
  <c r="G28" i="3" s="1"/>
  <c r="B14" i="3"/>
  <c r="G14" i="3" s="1"/>
  <c r="D62" i="1" l="1"/>
  <c r="C62" i="1"/>
  <c r="G32" i="3"/>
  <c r="B33" i="3"/>
  <c r="G33" i="3" s="1"/>
  <c r="B9" i="3"/>
  <c r="G9" i="3" s="1"/>
  <c r="G20" i="1" l="1"/>
  <c r="F1" i="3"/>
  <c r="B8" i="3"/>
  <c r="G8" i="3" s="1"/>
  <c r="B6" i="3"/>
  <c r="G6" i="3" s="1"/>
  <c r="H12" i="1"/>
  <c r="B5" i="3"/>
  <c r="C61" i="1" l="1"/>
  <c r="G5" i="3"/>
  <c r="H1" i="3" s="1"/>
  <c r="I63" i="1" l="1"/>
  <c r="G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FN20XX.1</t>
        </r>
        <r>
          <rPr>
            <sz val="9"/>
            <color indexed="81"/>
            <rFont val="Tahoma"/>
            <family val="2"/>
            <charset val="238"/>
          </rPr>
          <t xml:space="preserve"> je měřidlo objemového průtoku vodivých kapalin v potrubí. Umožňuje obousměrné měření průtoku s vysokou přesností v širokém pásmu rychlostí proudění. Minimální požadovaná vodivost měřeného média je 20 μS/cm. 
</t>
        </r>
      </text>
    </comment>
    <comment ref="D6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Pokud je teplota měřeného média vyšší než 60°C anebo teplota okolí průtokoměru trvale překračuje 50°C, musíte použít oddělené provedení a skříňku elektroniky umístit v prostředí s nižší okolní teplotou.  
Verze ECONOMIC neobsahuje klávesnici a displej.
</t>
        </r>
      </text>
    </comment>
    <comment ref="C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= 10 m /s</t>
        </r>
      </text>
    </comment>
    <comment ref="D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Dimenze dle EN (ASME, AWWA ...)
~  max. průtok při rychlosti v = 10 m/s 
U přírub AWWA je uvedená dimenze (DN700 a větší) pouze oriantační. Norma AWWA přesné rozměry nedefinuje.</t>
        </r>
      </text>
    </comment>
    <comment ref="D9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U bezpřírubového provedení, zde uveďte typ protipřírub na vašem potrubí 
(tj. mezi jaké příruby bude čidlo vloženo)!</t>
        </r>
      </text>
    </comment>
    <comment ref="D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IP 68 nelze provést u kompaktního provedení!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Standardní kombinace jmenovitých tlaků a dimenzí:
PN 25  ~  DN 6 až 10
PN 40  ~  DN 15 až 50
PN 16  ~  DN 65 až 200
PN 10  ~  DN 250 až 700
PN 6    ~  DN 800 až 1200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Maximální dovolený tlak (PS max) závisí na: 
Typu a materiálu přírub, max. dovolené teplotě (TS max) a na jmenovitém tlaku (PN).
Přehled, který PS max je STANDARDNÍ, najdete na listu "PS max". 
</t>
        </r>
      </text>
    </comment>
    <comment ref="D20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Indikaci leze použít jen u dimenze 32 a vyšší!</t>
        </r>
      </text>
    </comment>
    <comment ref="D2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Popište co nejpřesněji
</t>
        </r>
      </text>
    </comment>
    <comment ref="D25" authorId="1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 kompaktního provedení nevyplňujte!</t>
        </r>
      </text>
    </comment>
    <comment ref="D33" authorId="1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viz manuál str. 36
</t>
        </r>
      </text>
    </comment>
    <comment ref="D37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Znak</t>
        </r>
        <r>
          <rPr>
            <b/>
            <sz val="9"/>
            <color indexed="81"/>
            <rFont val="Tahoma"/>
            <family val="2"/>
            <charset val="238"/>
          </rPr>
          <t xml:space="preserve"> ~</t>
        </r>
        <r>
          <rPr>
            <sz val="9"/>
            <color indexed="81"/>
            <rFont val="Tahoma"/>
            <family val="2"/>
            <charset val="238"/>
          </rPr>
          <t xml:space="preserve"> je zde ve významu "</t>
        </r>
        <r>
          <rPr>
            <b/>
            <sz val="9"/>
            <color indexed="81"/>
            <rFont val="Tahoma"/>
            <family val="2"/>
            <charset val="238"/>
          </rPr>
          <t>Odpovídá</t>
        </r>
        <r>
          <rPr>
            <sz val="9"/>
            <color indexed="81"/>
            <rFont val="Tahoma"/>
            <family val="2"/>
            <charset val="238"/>
          </rPr>
          <t>"</t>
        </r>
      </text>
    </comment>
    <comment ref="D4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D48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1. písmeno se týká příjmu dat 
(L = lichá parita, S = sudá parita)</t>
        </r>
      </text>
    </comment>
    <comment ref="D50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8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 v případě, že je výrobek uveden v DB IS Helios.</t>
        </r>
      </text>
    </comment>
    <comment ref="C65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3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11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24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4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5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75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81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82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62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<sst xmlns="http://schemas.openxmlformats.org/spreadsheetml/2006/main" count="708" uniqueCount="389">
  <si>
    <t>-</t>
  </si>
  <si>
    <t>Provedení měřicího čidla</t>
  </si>
  <si>
    <t>TECHNICKÉ PARAMETRY</t>
  </si>
  <si>
    <t>ČSN EN 1092-1</t>
  </si>
  <si>
    <t>JIS B2210</t>
  </si>
  <si>
    <t>AS 4087</t>
  </si>
  <si>
    <t>TYPOVÉ ZAŘAZENÍ</t>
  </si>
  <si>
    <t>ECONOMIC kompaktní</t>
  </si>
  <si>
    <t>ECONOMIC oddělené</t>
  </si>
  <si>
    <t>COMFORT kompaktní</t>
  </si>
  <si>
    <t>COMFORT oddělené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</si>
  <si>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</si>
  <si>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</si>
  <si>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</si>
  <si>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</si>
  <si>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</si>
  <si>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</si>
  <si>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</si>
  <si>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</si>
  <si>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</si>
  <si>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</si>
  <si>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</si>
  <si>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</si>
  <si>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</si>
  <si>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</si>
  <si>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</si>
  <si>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</si>
  <si>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</si>
  <si>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</si>
  <si>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</si>
  <si>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</si>
  <si>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</si>
  <si>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</si>
  <si>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</si>
  <si>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</si>
  <si>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</si>
  <si>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</si>
  <si>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Přírubové</t>
  </si>
  <si>
    <t>Bezpřírubové</t>
  </si>
  <si>
    <t>Nestandardní</t>
  </si>
  <si>
    <t>Kód OČ</t>
  </si>
  <si>
    <t>Objednací číslo</t>
  </si>
  <si>
    <t>FN20</t>
  </si>
  <si>
    <t>Výstelka čidla</t>
  </si>
  <si>
    <t>Krytí čidla</t>
  </si>
  <si>
    <t>Příruby čidla</t>
  </si>
  <si>
    <t>Vybavení a provedení průtokoměru</t>
  </si>
  <si>
    <t>Materiál a povrchová úprava čidla</t>
  </si>
  <si>
    <t>Celonerezové 1.4301</t>
  </si>
  <si>
    <t>Nerezová ocel 1.4571</t>
  </si>
  <si>
    <t>Hastelloy C-276</t>
  </si>
  <si>
    <t>Tantal</t>
  </si>
  <si>
    <t>Titan Gr.2 ASTM B348-03</t>
  </si>
  <si>
    <t>Pol.</t>
  </si>
  <si>
    <t>Jmenovitý tlak</t>
  </si>
  <si>
    <t>0</t>
  </si>
  <si>
    <t>Napájení</t>
  </si>
  <si>
    <t>230 V AC, 50 Hz ÷ 60 Hz</t>
  </si>
  <si>
    <t>115 V AC, 50 Hz ÷ 60 Hz</t>
  </si>
  <si>
    <t>24 V AC, 50 Hz ÷ 60 Hz</t>
  </si>
  <si>
    <t>Indikace nezaplaveného potrubí</t>
  </si>
  <si>
    <t>Ne</t>
  </si>
  <si>
    <t>Ano</t>
  </si>
  <si>
    <t>Tabulka slouží jako příloha k poptávce nebo k objednávce a pro výrobu.</t>
  </si>
  <si>
    <t>NASTAVENÍ PRŮTOKOMĚRU</t>
  </si>
  <si>
    <t>Druh měření</t>
  </si>
  <si>
    <t>Jednosměrné</t>
  </si>
  <si>
    <t>1</t>
  </si>
  <si>
    <t>2</t>
  </si>
  <si>
    <t>Necitlivost měření</t>
  </si>
  <si>
    <t>Dávkování</t>
  </si>
  <si>
    <t>Počet vzorků pro průměrování</t>
  </si>
  <si>
    <t>Standardní ±0,5 % Qmax</t>
  </si>
  <si>
    <t>3</t>
  </si>
  <si>
    <t>4</t>
  </si>
  <si>
    <t>5</t>
  </si>
  <si>
    <t>6</t>
  </si>
  <si>
    <t>l/s</t>
  </si>
  <si>
    <t>l/min</t>
  </si>
  <si>
    <t>Výběr položek v nastavení menu</t>
  </si>
  <si>
    <t>Aktivace chyb</t>
  </si>
  <si>
    <t>Není požadováno</t>
  </si>
  <si>
    <t>Rozdíl objemů</t>
  </si>
  <si>
    <t>Provozní čas</t>
  </si>
  <si>
    <t>Procentní průtok</t>
  </si>
  <si>
    <t>Poslední závada</t>
  </si>
  <si>
    <t>Neaktivní</t>
  </si>
  <si>
    <t>l/hod</t>
  </si>
  <si>
    <r>
      <t>Proudový výstup - průtok pro I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=Q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</si>
  <si>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Není požadován</t>
  </si>
  <si>
    <r>
      <t xml:space="preserve"> 0 ÷ +Q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sz val="11"/>
        <color theme="1"/>
        <rFont val="Calibri"/>
        <family val="2"/>
        <charset val="238"/>
        <scheme val="minor"/>
      </rPr>
      <t xml:space="preserve">  ~   0 ÷ 20 mA</t>
    </r>
  </si>
  <si>
    <r>
      <t xml:space="preserve"> 0 ÷ |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|   ~   0 ÷ 20 mA</t>
    </r>
  </si>
  <si>
    <r>
      <t xml:space="preserve"> 0 ÷ +Q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sz val="11"/>
        <color theme="1"/>
        <rFont val="Calibri"/>
        <family val="2"/>
        <charset val="238"/>
        <scheme val="minor"/>
      </rPr>
      <t xml:space="preserve">  ~   4 ÷ 20 mA</t>
    </r>
  </si>
  <si>
    <r>
      <t xml:space="preserve"> 0 ÷ |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|   ~   4 ÷ 20 mA</t>
    </r>
  </si>
  <si>
    <t>Funkce výstupu OUT 1</t>
  </si>
  <si>
    <r>
      <t xml:space="preserve"> 0 ÷ </t>
    </r>
    <r>
      <rPr>
        <sz val="14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  ~   4 ÷ 20 mA</t>
    </r>
  </si>
  <si>
    <r>
      <t xml:space="preserve"> 0 ÷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  ~   0 ÷ 20 mA</t>
    </r>
  </si>
  <si>
    <t>Pulzní výstup - nestandardní nastavení délky pulzu, délky mezery a impulzního čísla</t>
  </si>
  <si>
    <t>Funkce výstupu OUT 2</t>
  </si>
  <si>
    <t>Frekvenční výstup - nestandardní nastavení</t>
  </si>
  <si>
    <t>Funkce relé</t>
  </si>
  <si>
    <r>
      <t xml:space="preserve"> 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>Q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 xml:space="preserve"> ÷ +Q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 xml:space="preserve">  ~   0 ÷ 20 mA</t>
    </r>
  </si>
  <si>
    <r>
      <t xml:space="preserve">Frekvenční výstup pro |Q| 
</t>
    </r>
    <r>
      <rPr>
        <sz val="9"/>
        <rFont val="Calibri"/>
        <family val="2"/>
        <charset val="238"/>
        <scheme val="minor"/>
      </rPr>
      <t>0 ÷ Qmax  ~  0 ÷ 1 kHz</t>
    </r>
  </si>
  <si>
    <r>
      <t xml:space="preserve">Frekvenční výstup pro Q+ 
</t>
    </r>
    <r>
      <rPr>
        <sz val="9"/>
        <rFont val="Calibri"/>
        <family val="2"/>
        <charset val="238"/>
        <scheme val="minor"/>
      </rPr>
      <t>0 ÷ Qmax  ~  0 ÷ 1 kHz</t>
    </r>
  </si>
  <si>
    <r>
      <t>Frekvenční výstup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Qmax  ~  0 ÷ 1 kHz</t>
    </r>
  </si>
  <si>
    <r>
      <t xml:space="preserve">Indikace záporného směru průtoku
</t>
    </r>
    <r>
      <rPr>
        <sz val="9"/>
        <rFont val="Calibri"/>
        <family val="2"/>
        <charset val="238"/>
        <scheme val="minor"/>
      </rPr>
      <t>(sepne při záporném průtoku)</t>
    </r>
  </si>
  <si>
    <r>
      <t xml:space="preserve">Indikace kladného (nezáporného) směru průtoku
</t>
    </r>
    <r>
      <rPr>
        <sz val="9"/>
        <rFont val="Calibri"/>
        <family val="2"/>
        <charset val="238"/>
        <scheme val="minor"/>
      </rPr>
      <t>(sepne při kladném průtoku)</t>
    </r>
  </si>
  <si>
    <r>
      <t xml:space="preserve">Diagnostika vzniku závady na průtokoměru
</t>
    </r>
    <r>
      <rPr>
        <sz val="9"/>
        <rFont val="Calibri"/>
        <family val="2"/>
        <charset val="238"/>
        <scheme val="minor"/>
      </rPr>
      <t>(sepne při vzniku závady)</t>
    </r>
  </si>
  <si>
    <r>
      <t xml:space="preserve">Diagnostika stavu bez závady
</t>
    </r>
    <r>
      <rPr>
        <sz val="9"/>
        <rFont val="Calibri"/>
        <family val="2"/>
        <charset val="238"/>
        <scheme val="minor"/>
      </rPr>
      <t>(je sepnuto, pokud na průtokoměru není závada)</t>
    </r>
  </si>
  <si>
    <r>
      <t>Indikace mezního průtoku Q &gt; Q</t>
    </r>
    <r>
      <rPr>
        <vertAlign val="subscript"/>
        <sz val="11"/>
        <rFont val="Calibri"/>
        <family val="2"/>
        <charset val="238"/>
        <scheme val="minor"/>
      </rPr>
      <t xml:space="preserve">mezní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(sepne při překročení Q</t>
    </r>
    <r>
      <rPr>
        <vertAlign val="subscript"/>
        <sz val="9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  <r>
      <rPr>
        <vertAlign val="sub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
Standardní nastavení: Qmezni = Qmax</t>
    </r>
  </si>
  <si>
    <r>
      <t>Indikace mezního průtoku |Q| &gt; Q</t>
    </r>
    <r>
      <rPr>
        <vertAlign val="subscript"/>
        <sz val="11"/>
        <rFont val="Calibri"/>
        <family val="2"/>
        <charset val="238"/>
        <scheme val="minor"/>
      </rPr>
      <t xml:space="preserve">mezní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(sepne při překročení Qmezní) 
Standardní nastavení: Qmezni = Qmax</t>
    </r>
  </si>
  <si>
    <r>
      <t>Indikace mezního průtoku:  Nestandardní nastavení Q</t>
    </r>
    <r>
      <rPr>
        <vertAlign val="subscript"/>
        <sz val="11"/>
        <rFont val="Calibri"/>
        <family val="2"/>
        <charset val="238"/>
        <scheme val="minor"/>
      </rPr>
      <t>mezni</t>
    </r>
    <r>
      <rPr>
        <sz val="11"/>
        <rFont val="Calibri"/>
        <family val="2"/>
        <charset val="238"/>
        <scheme val="minor"/>
      </rPr>
      <t xml:space="preserve"> a hystereze</t>
    </r>
  </si>
  <si>
    <r>
      <t xml:space="preserve">Indikace čistění elektrod:  Čištění probíhá
</t>
    </r>
    <r>
      <rPr>
        <sz val="9"/>
        <rFont val="Calibri"/>
        <family val="2"/>
        <charset val="238"/>
        <scheme val="minor"/>
      </rPr>
      <t>(sepne při režimu čištění)</t>
    </r>
  </si>
  <si>
    <r>
      <t xml:space="preserve">Indikace čistění elektrod:  Čištění neprobíhá
</t>
    </r>
    <r>
      <rPr>
        <sz val="9"/>
        <rFont val="Calibri"/>
        <family val="2"/>
        <charset val="238"/>
        <scheme val="minor"/>
      </rPr>
      <t>(je sepnuto, pokud není režim čištění)</t>
    </r>
  </si>
  <si>
    <r>
      <t>Indikace mezního průtoku Q &lt; Q</t>
    </r>
    <r>
      <rPr>
        <vertAlign val="subscript"/>
        <sz val="11"/>
        <rFont val="Calibri"/>
        <family val="2"/>
        <charset val="238"/>
        <scheme val="minor"/>
      </rPr>
      <t xml:space="preserve">mezní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(sepne při podkročení Qmezní) 
Standardní nastavení: Qmezni = Qmax</t>
    </r>
  </si>
  <si>
    <r>
      <t>Indikace mezního průtoku |Q| &lt; Q</t>
    </r>
    <r>
      <rPr>
        <vertAlign val="subscript"/>
        <sz val="11"/>
        <rFont val="Calibri"/>
        <family val="2"/>
        <charset val="238"/>
        <scheme val="minor"/>
      </rPr>
      <t xml:space="preserve">mezní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(sepne při podkročení Qmezní) 
Standardní nastavení: Qmezni = Qmax</t>
    </r>
  </si>
  <si>
    <t>Čištění elektrod</t>
  </si>
  <si>
    <t>česky/anglicky/holandsky/polsky</t>
  </si>
  <si>
    <t>česky/anglicky/holandsky/francouzsky</t>
  </si>
  <si>
    <t>česky/anglicky/holandsky/italsky</t>
  </si>
  <si>
    <t>Při zapnutí napájecího napětí</t>
  </si>
  <si>
    <t>Periodicky s periodou 1 den</t>
  </si>
  <si>
    <t>Periodicky s periodou 5 dní</t>
  </si>
  <si>
    <t>Periodicky s periodou 10 dní</t>
  </si>
  <si>
    <t>Periodicky s periodou 20 dní</t>
  </si>
  <si>
    <t>Periodicky s periodou 50 dní</t>
  </si>
  <si>
    <t>Periodicky s periodou 100 dní</t>
  </si>
  <si>
    <t>Periodicky s periodou 200 dní</t>
  </si>
  <si>
    <t>Rozhraní</t>
  </si>
  <si>
    <t>Parita</t>
  </si>
  <si>
    <t>SS</t>
  </si>
  <si>
    <t>LS</t>
  </si>
  <si>
    <t>LL</t>
  </si>
  <si>
    <t>Bez parity</t>
  </si>
  <si>
    <t>Není nabízena ze seznamu</t>
  </si>
  <si>
    <t>1 200 Bd</t>
  </si>
  <si>
    <t>2 400 Bd</t>
  </si>
  <si>
    <t>4 800 Bd</t>
  </si>
  <si>
    <t>19 200 Bd</t>
  </si>
  <si>
    <t>38 400 Bd</t>
  </si>
  <si>
    <t>Zobrazovací jazyk</t>
  </si>
  <si>
    <t>Rychlost přenosu</t>
  </si>
  <si>
    <t>Kalibrace</t>
  </si>
  <si>
    <t>Bez kalibrace</t>
  </si>
  <si>
    <t>Nestandardní kalibrace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</si>
  <si>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</si>
  <si>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</si>
  <si>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</si>
  <si>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</si>
  <si>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</si>
  <si>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</si>
  <si>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</si>
  <si>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</si>
  <si>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</si>
  <si>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</si>
  <si>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</si>
  <si>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</si>
  <si>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</si>
  <si>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NASTAVENÍ KOMUNIKACE</t>
  </si>
  <si>
    <t>Jiný jazyk</t>
  </si>
  <si>
    <t>KALIBRACE</t>
  </si>
  <si>
    <t>SOUVISÍCÍ PŘEDPISY</t>
  </si>
  <si>
    <t xml:space="preserve">Počet nezadaných hodnot: </t>
  </si>
  <si>
    <t>Nestandardní parametry</t>
  </si>
  <si>
    <t>Dne</t>
  </si>
  <si>
    <t>Tvrdá pryž (+5 ÷ +80 °C, DN25 ÷ DN1200)</t>
  </si>
  <si>
    <t>Měkká pryž (-20 ÷ +80 °C, DN25 ÷ DN1200)</t>
  </si>
  <si>
    <t>Pryž pro pitnou vodu (+5 ÷ +80 °C, DN40 ÷ DN1200)</t>
  </si>
  <si>
    <r>
      <t>Celkový objem</t>
    </r>
    <r>
      <rPr>
        <b/>
        <sz val="16"/>
        <color theme="1"/>
        <rFont val="Calibri"/>
        <family val="2"/>
        <charset val="238"/>
        <scheme val="minor"/>
      </rPr>
      <t xml:space="preserve"> -</t>
    </r>
  </si>
  <si>
    <r>
      <t xml:space="preserve">Celkový objem </t>
    </r>
    <r>
      <rPr>
        <b/>
        <sz val="11"/>
        <color theme="1"/>
        <rFont val="Calibri"/>
        <family val="2"/>
        <charset val="238"/>
        <scheme val="minor"/>
      </rPr>
      <t>+</t>
    </r>
  </si>
  <si>
    <t>Při případném kopírování vlevo uvedeného Objednacího čísla</t>
  </si>
  <si>
    <t>HW část:</t>
  </si>
  <si>
    <t>Dimenze čidla  ~  maximální průtok</t>
  </si>
  <si>
    <t xml:space="preserve">Nestandardní parametry - souhrn: </t>
  </si>
  <si>
    <t>Materiál elektrod</t>
  </si>
  <si>
    <t>Plášť: Uhlíková ocel, 
Příruby: Nerez 1.4301, 
Vnější nátěr: Polyuretan</t>
  </si>
  <si>
    <t>PVDF (-20 ÷ +120 °C, DN6 ÷ DN10)</t>
  </si>
  <si>
    <t>10 m</t>
  </si>
  <si>
    <t>15 m</t>
  </si>
  <si>
    <t>20 m</t>
  </si>
  <si>
    <t>30 m</t>
  </si>
  <si>
    <t>40 m</t>
  </si>
  <si>
    <t>50 m</t>
  </si>
  <si>
    <t>50 °C</t>
  </si>
  <si>
    <t>80 °C</t>
  </si>
  <si>
    <t>130 °C</t>
  </si>
  <si>
    <t>90 °C</t>
  </si>
  <si>
    <t>150 °C</t>
  </si>
  <si>
    <t>RS485</t>
  </si>
  <si>
    <t>Komunikace není požadována</t>
  </si>
  <si>
    <t xml:space="preserve">PN 16 / Class 150 </t>
  </si>
  <si>
    <t>PN 6</t>
  </si>
  <si>
    <t>PN 10</t>
  </si>
  <si>
    <t>PN 40 / Class 300</t>
  </si>
  <si>
    <t>PED není požadováno</t>
  </si>
  <si>
    <t>Kapaliny skupiny 1 definované v čl. 4 odd. 1. C) ii) PED</t>
  </si>
  <si>
    <t>Kapaliny skupiny 2 definované v čl. 4 odd. 1. C) ii) PED</t>
  </si>
  <si>
    <t>Plyny skupiny 1 definované v čl. 4 odd. 1. C) i) PED</t>
  </si>
  <si>
    <t>Plyny skupiny 2 definované v čl. 4 odd. 1. C) i) PED</t>
  </si>
  <si>
    <t>Druh tekutiny dle PED 2014/68/EU</t>
  </si>
  <si>
    <t>Popis měřené tekutiny</t>
  </si>
  <si>
    <t>Kategorie dle PED 2014/68/EU</t>
  </si>
  <si>
    <t>Délka kabelů</t>
  </si>
  <si>
    <t>SEP (PED 0)</t>
  </si>
  <si>
    <t>PED I</t>
  </si>
  <si>
    <t>PED II</t>
  </si>
  <si>
    <t>PED III</t>
  </si>
  <si>
    <t>Není nabízen ze seznamu</t>
  </si>
  <si>
    <t>Adresa - zapište z rozsahu 1 až 255</t>
  </si>
  <si>
    <t>Skupina - zapište z rozsahu 1 až 255</t>
  </si>
  <si>
    <t>Evidenční číslo manuálu průtokoměru</t>
  </si>
  <si>
    <t>Doporučená hodnota</t>
  </si>
  <si>
    <t>Chybové hlášení / poznámka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</si>
  <si>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</si>
  <si>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</si>
  <si>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Zemnicí kroužky</t>
  </si>
  <si>
    <t>Bez zemnicích kroužků</t>
  </si>
  <si>
    <t>PN40</t>
  </si>
  <si>
    <t>PN16</t>
  </si>
  <si>
    <t>PN10</t>
  </si>
  <si>
    <t>PN6</t>
  </si>
  <si>
    <t>Class 150</t>
  </si>
  <si>
    <t>(Class)</t>
  </si>
  <si>
    <r>
      <t>Maximální dovolený tlak (PS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)</t>
    </r>
  </si>
  <si>
    <t>Zemnicí elektoda</t>
  </si>
  <si>
    <t>Tlaková třída</t>
  </si>
  <si>
    <t>Přehled standardních maximálních dovolených tlaků</t>
  </si>
  <si>
    <t>Maximální dovolený tlak (PS) [bar]</t>
  </si>
  <si>
    <t>v závislosti na typu a materiálu přírub, na maximální dovolené teplotě a na jmenovitém tlaku</t>
  </si>
  <si>
    <t>Příruby dle EN1092-1 z uhlíkové oceli</t>
  </si>
  <si>
    <t>Příruby dle EN1092-1 z korozivzdorné oceli 1.4301</t>
  </si>
  <si>
    <t>Příruby dle ASME B16.5 z uhlíkové oceli</t>
  </si>
  <si>
    <t>Příruby dle ASME B16.5 z korozivzdorné oceli 1.4301</t>
  </si>
  <si>
    <t>Bezpřírubové provedení</t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</si>
  <si>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80°C
</t>
    </r>
    <r>
      <rPr>
        <sz val="9"/>
        <color theme="1"/>
        <rFont val="Calibri"/>
        <family val="2"/>
        <charset val="238"/>
      </rPr>
      <t>(výstelky TG, MG, NG)</t>
    </r>
  </si>
  <si>
    <t xml:space="preserve">Jmenovitý </t>
  </si>
  <si>
    <t>tlak</t>
  </si>
  <si>
    <t>Tlaková</t>
  </si>
  <si>
    <t>třída</t>
  </si>
  <si>
    <t>Impulzní číslo</t>
  </si>
  <si>
    <t xml:space="preserve">Jednotky zobrazovaného průtoku </t>
  </si>
  <si>
    <t>Jednotky impulzního čísla</t>
  </si>
  <si>
    <t xml:space="preserve">Pulzní výstup pro Q+ </t>
  </si>
  <si>
    <r>
      <t>Pulzní výstup pro Q</t>
    </r>
    <r>
      <rPr>
        <sz val="14"/>
        <rFont val="Calibri"/>
        <family val="2"/>
        <charset val="238"/>
        <scheme val="minor"/>
      </rPr>
      <t>-</t>
    </r>
  </si>
  <si>
    <t>Pulzní výstup pro Q+</t>
  </si>
  <si>
    <r>
      <t>Pulzní výstup pro Q</t>
    </r>
    <r>
      <rPr>
        <sz val="14"/>
        <rFont val="Calibri"/>
        <family val="2"/>
        <charset val="238"/>
        <scheme val="minor"/>
      </rPr>
      <t xml:space="preserve">- </t>
    </r>
  </si>
  <si>
    <t>Firma</t>
  </si>
  <si>
    <t>Číslo položky v poptávce/objednávce</t>
  </si>
  <si>
    <t>Vystavil - jméno a příjmení</t>
  </si>
  <si>
    <t>Počet kusů</t>
  </si>
  <si>
    <r>
      <t>Maximální provozní teplota média (TS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)</t>
    </r>
  </si>
  <si>
    <t>7</t>
  </si>
  <si>
    <t>8</t>
  </si>
  <si>
    <t>00</t>
  </si>
  <si>
    <t>Není požadována</t>
  </si>
  <si>
    <t>Pozice</t>
  </si>
  <si>
    <t>Kód</t>
  </si>
  <si>
    <t>Název</t>
  </si>
  <si>
    <t>Hodnota</t>
  </si>
  <si>
    <t>Výše uvedené parametry definující konstrukci výrobku.</t>
  </si>
  <si>
    <t>Es90419K/b</t>
  </si>
  <si>
    <t>Standardní (viz list "PS max")</t>
  </si>
  <si>
    <t>Teflon PTFE (-20 ÷ +150 °C, DN15 ÷ DN1200)</t>
  </si>
  <si>
    <t>E-CTFE (-20 ÷ +120 °C, DN300 ÷ DN1200)</t>
  </si>
  <si>
    <t>110 °C</t>
  </si>
  <si>
    <t>120 °C</t>
  </si>
  <si>
    <t>60 °C</t>
  </si>
  <si>
    <t>24 V DC</t>
  </si>
  <si>
    <t>50</t>
  </si>
  <si>
    <t>500</t>
  </si>
  <si>
    <t>Ano (nadstandardní požadavek)</t>
  </si>
  <si>
    <t>Standardní s přesností dle ČSN EN ISO 4064-1, tř. 2</t>
  </si>
  <si>
    <t xml:space="preserve">PN 25 </t>
  </si>
  <si>
    <t>100 l</t>
  </si>
  <si>
    <t>10 l</t>
  </si>
  <si>
    <t>US gal/s (GPS)</t>
  </si>
  <si>
    <t>US gal/min (GPM)</t>
  </si>
  <si>
    <t>US gal/hod (GPH)</t>
  </si>
  <si>
    <t>1 l</t>
  </si>
  <si>
    <t>1000 l</t>
  </si>
  <si>
    <t>Jiná velikost dávky</t>
  </si>
  <si>
    <t>Velikost dávky</t>
  </si>
  <si>
    <t>IDO výrobku (zadává ELIS)</t>
  </si>
  <si>
    <t>Poznámky k výrobku, obchodnímu případu či nestandardním parametrům</t>
  </si>
  <si>
    <t>Bez kabelu</t>
  </si>
  <si>
    <t>Žádná jednotka (impulzní číslo není požadováno)</t>
  </si>
  <si>
    <t>Dekódoval - jméno</t>
  </si>
  <si>
    <t>Dne:</t>
  </si>
  <si>
    <t>Dekódovací tabulka objednacího čísla indukčního průtokoměru FLONET FN20xx.1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</si>
  <si>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</si>
  <si>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t>Referent ELIS</t>
  </si>
  <si>
    <t>.1-</t>
  </si>
  <si>
    <t>Číslo poptávky/objednávky zákazníka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</si>
  <si>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/s</t>
    </r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</si>
  <si>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</si>
  <si>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US gal/imp</t>
  </si>
  <si>
    <t>m³/min</t>
  </si>
  <si>
    <t>x</t>
  </si>
  <si>
    <t>xx</t>
  </si>
  <si>
    <t>x4</t>
  </si>
  <si>
    <t>x8</t>
  </si>
  <si>
    <t>x7</t>
  </si>
  <si>
    <t>Žádná (dávkování není požadováno)</t>
  </si>
  <si>
    <t>Žádná (komunikace není požadována)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</si>
  <si>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"x")</t>
    </r>
  </si>
  <si>
    <t>Platina-rhodium PtRh20</t>
  </si>
  <si>
    <t>Zemnicí elektroda</t>
  </si>
  <si>
    <t>Specifikační tabulka indukčního průtokoměru FLONET FN20xx.1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</si>
  <si>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</si>
  <si>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Es90419K/c</t>
  </si>
  <si>
    <t>Poznámky</t>
  </si>
  <si>
    <t>*   Pro příruby materiálové skupiny 3E0 dle ČSN EN1092-1 např. ocel P245GH, P265GH.</t>
  </si>
  <si>
    <t>**  Pouze na speciální vyžádání.</t>
  </si>
  <si>
    <r>
      <t>pro maximální provozní teplotu (TS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0"/>
        <color theme="1"/>
        <rFont val="Calibri"/>
        <family val="2"/>
        <charset val="238"/>
      </rPr>
      <t>)*</t>
    </r>
  </si>
  <si>
    <r>
      <t>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dovolený tlak)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dovolená teplota), vztahující se k čidlu, jsou uvedeny na štítku čidla.</t>
    </r>
  </si>
  <si>
    <r>
      <t>Po konzultaci je možné dodat čidla s přírubami pro jiné 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s ohledem na tlako-teplotní vlastnosti materiálu přírub.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</si>
  <si>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(výst. PTFE, E-CTFE)</t>
    </r>
    <r>
      <rPr>
        <sz val="10"/>
        <color theme="1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</si>
  <si>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120°C
</t>
    </r>
    <r>
      <rPr>
        <sz val="9"/>
        <color rgb="FF000000"/>
        <rFont val="Calibri"/>
        <family val="2"/>
        <charset val="238"/>
      </rPr>
      <t>(výstelky E-CTFE)</t>
    </r>
    <r>
      <rPr>
        <sz val="10"/>
        <color rgb="FF000000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</si>
  <si>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150°C
</t>
    </r>
    <r>
      <rPr>
        <sz val="9"/>
        <color rgb="FF000000"/>
        <rFont val="Calibri"/>
        <family val="2"/>
        <charset val="238"/>
      </rPr>
      <t>(výstelky PTFE)</t>
    </r>
    <r>
      <rPr>
        <sz val="10"/>
        <color rgb="FF000000"/>
        <rFont val="Calibri"/>
        <family val="2"/>
        <charset val="238"/>
      </rPr>
      <t>**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</si>
  <si>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(výstelky PTFE)</t>
    </r>
    <r>
      <rPr>
        <sz val="10"/>
        <color theme="1"/>
        <rFont val="Calibri"/>
        <family val="2"/>
        <charset val="238"/>
      </rPr>
      <t>**</t>
    </r>
  </si>
  <si>
    <t>Nestandardní (pro vyšší než ±0,5 % Qmax)</t>
  </si>
  <si>
    <t>25 (standard)</t>
  </si>
  <si>
    <t>Nadstandardní s přesností ±0,5 % v rozsahu 1:20</t>
  </si>
  <si>
    <t>Nadstandardní s přesností ±0,2 % v rozsahu 1:10</t>
  </si>
  <si>
    <t>Pulzní výstup pro |Q|</t>
  </si>
  <si>
    <r>
      <rPr>
        <sz val="11"/>
        <rFont val="Calibri"/>
        <family val="2"/>
        <charset val="238"/>
        <scheme val="minor"/>
      </rPr>
      <t>Frekvenční výstup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Qmax  ~  0 ÷ 1 kHz</t>
    </r>
  </si>
  <si>
    <t>Žádná jednotka (provedení ECONOMIC)</t>
  </si>
  <si>
    <t>Bez výběru položek (provedení ECONOMIC)</t>
  </si>
  <si>
    <t>Krytí skříňky elektroniky</t>
  </si>
  <si>
    <t>IP 67 (standard)</t>
  </si>
  <si>
    <t>IP 68 - pro oddělené provedení (nadstandard)</t>
  </si>
  <si>
    <t>IP65 (standard)</t>
  </si>
  <si>
    <t>IP67 (nadstandard)</t>
  </si>
  <si>
    <t>Dimenze čidla</t>
  </si>
  <si>
    <r>
      <t>Maximální provozní teplota média (TS</t>
    </r>
    <r>
      <rPr>
        <b/>
        <vertAlign val="subscript"/>
        <sz val="11"/>
        <color theme="1"/>
        <rFont val="Calibri"/>
        <family val="2"/>
        <charset val="238"/>
        <scheme val="minor"/>
      </rPr>
      <t>max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</si>
  <si>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Maximální dovolený tlak (PS</t>
    </r>
    <r>
      <rPr>
        <b/>
        <vertAlign val="subscript"/>
        <sz val="11"/>
        <color theme="1"/>
        <rFont val="Calibri"/>
        <family val="2"/>
        <charset val="238"/>
        <scheme val="minor"/>
      </rPr>
      <t>max</t>
    </r>
    <r>
      <rPr>
        <b/>
        <sz val="11"/>
        <color theme="1"/>
        <rFont val="Calibri"/>
        <family val="2"/>
        <charset val="238"/>
        <scheme val="minor"/>
      </rPr>
      <t>)</t>
    </r>
  </si>
  <si>
    <t>Jednotky zobrazovaného průtoku</t>
  </si>
  <si>
    <r>
      <t>Proudový výstup - průtok pro I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b/>
        <sz val="11"/>
        <color theme="1"/>
        <rFont val="Calibri"/>
        <family val="2"/>
        <charset val="238"/>
        <scheme val="minor"/>
      </rPr>
      <t>= Q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</si>
  <si>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Adresa</t>
  </si>
  <si>
    <t>Skupina</t>
  </si>
  <si>
    <t xml:space="preserve">      )</t>
  </si>
  <si>
    <t>12 měsíců</t>
  </si>
  <si>
    <t>Plášť i případné příruby: Uhlíková ocel, 
Vnější nátěr: Polyuretan (standardně)</t>
  </si>
  <si>
    <t>5 m (standardně)</t>
  </si>
  <si>
    <t>Obousměrné (standardně)</t>
  </si>
  <si>
    <t>m³/hod (standardně)</t>
  </si>
  <si>
    <t>l/imp (standardně)</t>
  </si>
  <si>
    <t>Průtok (standardně)</t>
  </si>
  <si>
    <t>Aktivní chybové hlášení E0 až E13 (standardně)</t>
  </si>
  <si>
    <t xml:space="preserve"> -Qmax ÷ +Qmax  ~   4 ÷ 20 mA (standardně)</t>
  </si>
  <si>
    <t>Frekvenční výstup pro |Q| 
0 ÷ Qmax  ~  0 ÷ 1 kHz (standardně)</t>
  </si>
  <si>
    <t>Pulzní výstup pro |Q| (standardně)</t>
  </si>
  <si>
    <t>Není požadováno (standardně)</t>
  </si>
  <si>
    <t>česky/anglicky/holandsky/španělsky (standardně)</t>
  </si>
  <si>
    <t>9 600 Bd (standardně)</t>
  </si>
  <si>
    <t>SL (standardně)</t>
  </si>
  <si>
    <t>24 měsíců (standardně)</t>
  </si>
  <si>
    <t>DN6 ~ 1 m³/h</t>
  </si>
  <si>
    <t>DN20 ~ 12 m³/h</t>
  </si>
  <si>
    <t>DN10 ~ 2,8 m³/h</t>
  </si>
  <si>
    <t>DN8 ~ 1,8 m³/h</t>
  </si>
  <si>
    <t>DN15 ~ 6,5 m³/h</t>
  </si>
  <si>
    <t>DN25 ~ 18 m³/h</t>
  </si>
  <si>
    <t>DN32 ~ 30 m³/h</t>
  </si>
  <si>
    <t>DN40 ~ 45 m³/h</t>
  </si>
  <si>
    <t>DN50 ~ 72 m³/h</t>
  </si>
  <si>
    <t>DN65 ~ 120 m³/h</t>
  </si>
  <si>
    <t>DN80 ~ 180 m³/h</t>
  </si>
  <si>
    <t>DN100 ~ 280 m³/h</t>
  </si>
  <si>
    <t>DN125 ~ 430 m³/h</t>
  </si>
  <si>
    <t>DN150 ~ 650 m³/h</t>
  </si>
  <si>
    <t>DN200 ~ 1 150 m³/h</t>
  </si>
  <si>
    <t>DN250 ~ 1 800 m³/h</t>
  </si>
  <si>
    <t>DN300 ~ 2 520 m³/h</t>
  </si>
  <si>
    <t>DN350 ~ 3 500 m³/h</t>
  </si>
  <si>
    <t>DN400 ~ 4 500 m³/h</t>
  </si>
  <si>
    <t>DN500 ~ 7 200 m³/h</t>
  </si>
  <si>
    <t>DN600 ~ 10 000 m³/h</t>
  </si>
  <si>
    <t>DN700 ~ 14 000 m³/h</t>
  </si>
  <si>
    <t>DN800 ~ 18 000 m³/h</t>
  </si>
  <si>
    <t>DN900 ~ 23 000 m³/h</t>
  </si>
  <si>
    <t>DN1000 ~ 28 000 m³/h</t>
  </si>
  <si>
    <t>DN1200 ~ 40 000 m³/h</t>
  </si>
  <si>
    <t>BS 4504</t>
  </si>
  <si>
    <t>Sloupec pro zápis návrhů úprav</t>
  </si>
  <si>
    <t>AWWA C207  (DN700 a větší)</t>
  </si>
  <si>
    <t>ASME (ANSI) B16.5  (max. DN600)</t>
  </si>
  <si>
    <t>IP 65 (standard pro kompakt)</t>
  </si>
  <si>
    <t>Es90146F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</si>
</sst>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7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b/>
      <sz val="10"/>
      <color rgb="FF33993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9" tint="0.80001220740379042"/>
        </stop>
        <stop position="1">
          <color theme="0" tint="-0.1490218817712943"/>
        </stop>
      </gradient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Dashed">
        <color theme="0" tint="-0.14996795556505021"/>
      </bottom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3743705557422"/>
      </bottom>
      <diagonal/>
    </border>
    <border>
      <left/>
      <right/>
      <top style="medium">
        <color indexed="64"/>
      </top>
      <bottom style="medium">
        <color theme="0" tint="-0.14993743705557422"/>
      </bottom>
      <diagonal/>
    </border>
    <border>
      <left/>
      <right/>
      <top style="thin">
        <color rgb="FFFF0000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0" xfId="0" applyFont="1" applyFill="1" applyBorder="1" applyAlignment="1">
      <alignment horizontal="right" vertical="center" indent="1"/>
    </xf>
    <xf numFmtId="0" fontId="0" fillId="3" borderId="1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3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4" fillId="4" borderId="0" xfId="0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164" fontId="0" fillId="0" borderId="7" xfId="0" applyNumberFormat="1" applyBorder="1" applyAlignment="1" applyProtection="1">
      <alignment horizontal="left" vertical="center" wrapText="1"/>
      <protection locked="0"/>
    </xf>
    <xf numFmtId="49" fontId="29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49" fontId="16" fillId="0" borderId="0" xfId="0" applyNumberFormat="1" applyFont="1" applyAlignment="1" applyProtection="1">
      <alignment horizontal="right" vertical="center"/>
      <protection hidden="1"/>
    </xf>
    <xf numFmtId="49" fontId="31" fillId="0" borderId="0" xfId="0" applyNumberFormat="1" applyFont="1" applyAlignment="1" applyProtection="1">
      <alignment horizontal="right" vertical="center"/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47" fillId="0" borderId="0" xfId="0" applyFont="1"/>
    <xf numFmtId="0" fontId="50" fillId="0" borderId="3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8" borderId="32" xfId="0" applyFont="1" applyFill="1" applyBorder="1" applyAlignment="1">
      <alignment horizontal="center" vertical="center"/>
    </xf>
    <xf numFmtId="0" fontId="51" fillId="8" borderId="32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51" fillId="8" borderId="1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53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55" fillId="0" borderId="10" xfId="0" applyNumberFormat="1" applyFont="1" applyBorder="1" applyAlignment="1" applyProtection="1">
      <alignment horizontal="center" vertical="center"/>
      <protection hidden="1"/>
    </xf>
    <xf numFmtId="49" fontId="21" fillId="0" borderId="0" xfId="0" applyNumberFormat="1" applyFont="1" applyAlignment="1">
      <alignment vertical="center"/>
    </xf>
    <xf numFmtId="49" fontId="2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6" fillId="10" borderId="16" xfId="0" applyFont="1" applyFill="1" applyBorder="1" applyAlignment="1" applyProtection="1">
      <alignment vertical="center"/>
      <protection hidden="1"/>
    </xf>
    <xf numFmtId="0" fontId="24" fillId="0" borderId="41" xfId="0" applyFont="1" applyBorder="1" applyProtection="1">
      <protection hidden="1"/>
    </xf>
    <xf numFmtId="0" fontId="24" fillId="0" borderId="42" xfId="0" applyFont="1" applyBorder="1" applyProtection="1">
      <protection hidden="1"/>
    </xf>
    <xf numFmtId="0" fontId="24" fillId="0" borderId="43" xfId="0" applyFont="1" applyBorder="1" applyProtection="1"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58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33" fillId="10" borderId="0" xfId="0" applyFont="1" applyFill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3" borderId="19" xfId="0" applyFill="1" applyBorder="1" applyAlignment="1" applyProtection="1">
      <alignment vertical="center"/>
      <protection hidden="1"/>
    </xf>
    <xf numFmtId="0" fontId="32" fillId="4" borderId="0" xfId="0" applyFont="1" applyFill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left" vertical="center" inden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indent="1"/>
      <protection hidden="1"/>
    </xf>
    <xf numFmtId="0" fontId="0" fillId="4" borderId="0" xfId="0" applyFill="1" applyAlignment="1" applyProtection="1">
      <alignment horizontal="right" vertical="center" indent="1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0" fontId="1" fillId="4" borderId="26" xfId="0" applyFont="1" applyFill="1" applyBorder="1" applyAlignment="1" applyProtection="1">
      <alignment horizontal="left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left" vertical="center" wrapText="1"/>
      <protection hidden="1"/>
    </xf>
    <xf numFmtId="0" fontId="1" fillId="4" borderId="27" xfId="0" applyFont="1" applyFill="1" applyBorder="1" applyAlignment="1" applyProtection="1">
      <alignment horizontal="left" vertical="center" wrapText="1"/>
      <protection hidden="1"/>
    </xf>
    <xf numFmtId="0" fontId="1" fillId="4" borderId="27" xfId="0" applyFont="1" applyFill="1" applyBorder="1" applyAlignment="1" applyProtection="1">
      <alignment vertical="center" wrapText="1"/>
      <protection hidden="1"/>
    </xf>
    <xf numFmtId="0" fontId="2" fillId="4" borderId="36" xfId="0" applyFont="1" applyFill="1" applyBorder="1" applyAlignment="1" applyProtection="1">
      <alignment horizontal="right" vertical="center" indent="1"/>
      <protection hidden="1"/>
    </xf>
    <xf numFmtId="0" fontId="16" fillId="9" borderId="36" xfId="0" applyFont="1" applyFill="1" applyBorder="1" applyAlignment="1" applyProtection="1">
      <alignment horizontal="right" vertical="center" indent="1"/>
      <protection hidden="1"/>
    </xf>
    <xf numFmtId="0" fontId="2" fillId="4" borderId="37" xfId="0" applyFont="1" applyFill="1" applyBorder="1" applyAlignment="1" applyProtection="1">
      <alignment vertical="center"/>
      <protection hidden="1"/>
    </xf>
    <xf numFmtId="0" fontId="1" fillId="4" borderId="7" xfId="0" applyFont="1" applyFill="1" applyBorder="1" applyAlignment="1" applyProtection="1">
      <alignment horizontal="left" vertical="center" wrapText="1"/>
      <protection hidden="1"/>
    </xf>
    <xf numFmtId="0" fontId="57" fillId="4" borderId="21" xfId="0" applyFont="1" applyFill="1" applyBorder="1" applyAlignment="1" applyProtection="1">
      <alignment horizontal="right" vertical="top"/>
      <protection hidden="1"/>
    </xf>
    <xf numFmtId="0" fontId="16" fillId="4" borderId="0" xfId="0" applyFont="1" applyFill="1" applyAlignment="1" applyProtection="1">
      <alignment horizontal="right" vertical="center" indent="1"/>
      <protection hidden="1"/>
    </xf>
    <xf numFmtId="0" fontId="0" fillId="4" borderId="21" xfId="0" applyFill="1" applyBorder="1" applyAlignment="1" applyProtection="1">
      <alignment vertical="center"/>
      <protection hidden="1"/>
    </xf>
    <xf numFmtId="0" fontId="2" fillId="4" borderId="9" xfId="0" applyFont="1" applyFill="1" applyBorder="1" applyAlignment="1" applyProtection="1">
      <alignment horizontal="right" vertical="center" indent="1"/>
      <protection hidden="1"/>
    </xf>
    <xf numFmtId="0" fontId="0" fillId="4" borderId="9" xfId="0" applyFill="1" applyBorder="1" applyAlignment="1" applyProtection="1">
      <alignment horizontal="right" vertical="center" indent="1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53" fillId="0" borderId="0" xfId="0" applyFont="1" applyAlignment="1" applyProtection="1">
      <alignment horizontal="right" vertical="center"/>
      <protection hidden="1"/>
    </xf>
    <xf numFmtId="0" fontId="23" fillId="3" borderId="1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 indent="1"/>
      <protection hidden="1"/>
    </xf>
    <xf numFmtId="0" fontId="25" fillId="3" borderId="9" xfId="0" applyFont="1" applyFill="1" applyBorder="1" applyAlignment="1" applyProtection="1">
      <alignment horizontal="left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2" fillId="3" borderId="10" xfId="0" applyFont="1" applyFill="1" applyBorder="1" applyAlignment="1" applyProtection="1">
      <alignment horizontal="right" vertical="center" indent="1"/>
      <protection hidden="1"/>
    </xf>
    <xf numFmtId="0" fontId="0" fillId="3" borderId="0" xfId="0" applyFill="1" applyAlignment="1" applyProtection="1">
      <alignment horizontal="right" vertical="center" indent="1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/>
      <protection locked="0"/>
    </xf>
    <xf numFmtId="0" fontId="59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59" fillId="0" borderId="44" xfId="0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37" fillId="4" borderId="46" xfId="0" applyFont="1" applyFill="1" applyBorder="1" applyAlignment="1" applyProtection="1">
      <alignment vertical="center"/>
      <protection hidden="1"/>
    </xf>
    <xf numFmtId="0" fontId="0" fillId="4" borderId="47" xfId="0" applyFill="1" applyBorder="1" applyAlignment="1" applyProtection="1">
      <alignment vertical="center"/>
      <protection hidden="1"/>
    </xf>
    <xf numFmtId="0" fontId="60" fillId="3" borderId="38" xfId="0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 applyProtection="1">
      <alignment horizontal="left" vertical="center" wrapText="1"/>
      <protection hidden="1"/>
    </xf>
    <xf numFmtId="0" fontId="5" fillId="4" borderId="49" xfId="0" applyFont="1" applyFill="1" applyBorder="1" applyAlignment="1" applyProtection="1">
      <alignment horizontal="center" vertical="center"/>
      <protection hidden="1"/>
    </xf>
    <xf numFmtId="0" fontId="62" fillId="11" borderId="0" xfId="0" applyFont="1" applyFill="1" applyAlignment="1">
      <alignment vertical="top" wrapText="1"/>
    </xf>
    <xf numFmtId="0" fontId="44" fillId="11" borderId="0" xfId="0" applyFont="1" applyFill="1" applyAlignment="1">
      <alignment horizontal="right" vertical="top" wrapText="1"/>
    </xf>
    <xf numFmtId="0" fontId="63" fillId="11" borderId="0" xfId="0" applyFont="1" applyFill="1" applyAlignment="1">
      <alignment vertical="top" wrapText="1"/>
    </xf>
    <xf numFmtId="0" fontId="64" fillId="0" borderId="0" xfId="0" applyFont="1" applyAlignment="1">
      <alignment horizontal="left" vertical="center"/>
    </xf>
    <xf numFmtId="0" fontId="67" fillId="8" borderId="32" xfId="0" applyFont="1" applyFill="1" applyBorder="1" applyAlignment="1">
      <alignment horizontal="center" vertical="center"/>
    </xf>
    <xf numFmtId="0" fontId="67" fillId="8" borderId="1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6" fillId="10" borderId="16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16" fillId="2" borderId="0" xfId="0" applyFont="1" applyFill="1" applyAlignment="1">
      <alignment vertical="center"/>
    </xf>
    <xf numFmtId="0" fontId="0" fillId="2" borderId="50" xfId="0" applyFill="1" applyBorder="1" applyAlignment="1">
      <alignment vertical="center"/>
    </xf>
    <xf numFmtId="0" fontId="68" fillId="12" borderId="0" xfId="0" applyFont="1" applyFill="1" applyAlignment="1">
      <alignment horizontal="center"/>
    </xf>
    <xf numFmtId="0" fontId="0" fillId="3" borderId="9" xfId="0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3" borderId="19" xfId="0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 indent="1"/>
    </xf>
    <xf numFmtId="0" fontId="0" fillId="13" borderId="2" xfId="0" applyFill="1" applyBorder="1" applyAlignment="1">
      <alignment vertical="center"/>
    </xf>
    <xf numFmtId="0" fontId="2" fillId="13" borderId="3" xfId="0" applyFont="1" applyFill="1" applyBorder="1" applyAlignment="1">
      <alignment horizontal="center" vertical="center"/>
    </xf>
    <xf numFmtId="0" fontId="34" fillId="13" borderId="0" xfId="0" applyFont="1" applyFill="1" applyAlignment="1" applyProtection="1">
      <alignment horizontal="center" vertical="center" wrapText="1"/>
      <protection hidden="1"/>
    </xf>
    <xf numFmtId="0" fontId="24" fillId="13" borderId="0" xfId="0" applyFont="1" applyFill="1" applyAlignment="1" applyProtection="1">
      <alignment vertical="center" wrapText="1"/>
      <protection hidden="1"/>
    </xf>
    <xf numFmtId="0" fontId="23" fillId="13" borderId="1" xfId="0" applyFont="1" applyFill="1" applyBorder="1" applyAlignment="1">
      <alignment horizontal="center" vertical="center"/>
    </xf>
    <xf numFmtId="0" fontId="25" fillId="13" borderId="2" xfId="0" applyFont="1" applyFill="1" applyBorder="1" applyAlignment="1">
      <alignment horizontal="left" vertical="center" wrapText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34" fillId="14" borderId="0" xfId="0" applyFont="1" applyFill="1" applyAlignment="1" applyProtection="1">
      <alignment horizontal="center" vertical="center" wrapText="1"/>
      <protection hidden="1"/>
    </xf>
    <xf numFmtId="0" fontId="24" fillId="14" borderId="0" xfId="0" applyFont="1" applyFill="1" applyAlignment="1" applyProtection="1">
      <alignment horizontal="center" vertical="center"/>
      <protection hidden="1"/>
    </xf>
    <xf numFmtId="0" fontId="0" fillId="14" borderId="19" xfId="0" applyFill="1" applyBorder="1" applyAlignment="1">
      <alignment vertical="center"/>
    </xf>
    <xf numFmtId="0" fontId="32" fillId="14" borderId="0" xfId="0" applyFont="1" applyFill="1" applyAlignment="1">
      <alignment vertical="center"/>
    </xf>
    <xf numFmtId="0" fontId="0" fillId="14" borderId="0" xfId="0" applyFill="1"/>
    <xf numFmtId="0" fontId="2" fillId="14" borderId="0" xfId="0" applyFont="1" applyFill="1" applyAlignment="1">
      <alignment vertical="center"/>
    </xf>
    <xf numFmtId="0" fontId="2" fillId="14" borderId="21" xfId="0" applyFont="1" applyFill="1" applyBorder="1" applyAlignment="1">
      <alignment vertical="center"/>
    </xf>
    <xf numFmtId="0" fontId="2" fillId="14" borderId="0" xfId="0" applyFont="1" applyFill="1" applyAlignment="1">
      <alignment horizontal="right" vertical="center" indent="1"/>
    </xf>
    <xf numFmtId="0" fontId="0" fillId="14" borderId="0" xfId="0" applyFill="1" applyAlignment="1">
      <alignment horizontal="right" vertical="center" indent="1"/>
    </xf>
    <xf numFmtId="0" fontId="5" fillId="14" borderId="0" xfId="0" applyFont="1" applyFill="1" applyAlignment="1" applyProtection="1">
      <alignment horizontal="center" vertical="center"/>
      <protection hidden="1"/>
    </xf>
    <xf numFmtId="0" fontId="37" fillId="14" borderId="0" xfId="0" applyFont="1" applyFill="1" applyAlignment="1" applyProtection="1">
      <alignment vertical="center" wrapText="1"/>
      <protection hidden="1"/>
    </xf>
    <xf numFmtId="0" fontId="10" fillId="14" borderId="0" xfId="0" applyFont="1" applyFill="1" applyAlignment="1" applyProtection="1">
      <alignment vertical="center" wrapText="1"/>
      <protection hidden="1"/>
    </xf>
    <xf numFmtId="0" fontId="2" fillId="14" borderId="0" xfId="0" applyFont="1" applyFill="1" applyAlignment="1" applyProtection="1">
      <alignment vertical="center" wrapText="1"/>
      <protection hidden="1"/>
    </xf>
    <xf numFmtId="0" fontId="56" fillId="14" borderId="0" xfId="0" applyFont="1" applyFill="1" applyAlignment="1">
      <alignment horizontal="right" vertical="center" indent="1"/>
    </xf>
    <xf numFmtId="0" fontId="39" fillId="14" borderId="0" xfId="0" applyFont="1" applyFill="1" applyAlignment="1" applyProtection="1">
      <alignment vertical="center" wrapText="1"/>
      <protection hidden="1"/>
    </xf>
    <xf numFmtId="0" fontId="2" fillId="14" borderId="37" xfId="0" applyFont="1" applyFill="1" applyBorder="1" applyAlignment="1">
      <alignment vertical="center"/>
    </xf>
    <xf numFmtId="0" fontId="57" fillId="14" borderId="21" xfId="0" applyFont="1" applyFill="1" applyBorder="1" applyAlignment="1">
      <alignment horizontal="right" vertical="top"/>
    </xf>
    <xf numFmtId="1" fontId="5" fillId="14" borderId="0" xfId="0" applyNumberFormat="1" applyFont="1" applyFill="1" applyAlignment="1" applyProtection="1">
      <alignment horizontal="center" vertical="center"/>
      <protection hidden="1"/>
    </xf>
    <xf numFmtId="0" fontId="0" fillId="14" borderId="21" xfId="0" applyFill="1" applyBorder="1" applyAlignment="1">
      <alignment vertical="center"/>
    </xf>
    <xf numFmtId="165" fontId="5" fillId="14" borderId="0" xfId="0" applyNumberFormat="1" applyFont="1" applyFill="1" applyAlignment="1" applyProtection="1">
      <alignment horizontal="center" vertical="center"/>
      <protection hidden="1"/>
    </xf>
    <xf numFmtId="0" fontId="2" fillId="14" borderId="10" xfId="0" applyFont="1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9" xfId="0" applyFill="1" applyBorder="1" applyAlignment="1">
      <alignment horizontal="right" vertical="center" indent="1"/>
    </xf>
    <xf numFmtId="0" fontId="1" fillId="14" borderId="39" xfId="0" applyFont="1" applyFill="1" applyBorder="1" applyAlignment="1">
      <alignment vertical="center" wrapText="1"/>
    </xf>
    <xf numFmtId="0" fontId="61" fillId="14" borderId="9" xfId="0" applyFont="1" applyFill="1" applyBorder="1" applyAlignment="1" applyProtection="1">
      <alignment horizontal="center" vertical="center"/>
      <protection hidden="1"/>
    </xf>
    <xf numFmtId="0" fontId="0" fillId="14" borderId="16" xfId="0" applyFill="1" applyBorder="1" applyAlignment="1">
      <alignment vertical="center"/>
    </xf>
    <xf numFmtId="0" fontId="37" fillId="14" borderId="16" xfId="0" applyFont="1" applyFill="1" applyBorder="1" applyAlignment="1" applyProtection="1">
      <alignment vertical="center" wrapText="1"/>
      <protection hidden="1"/>
    </xf>
    <xf numFmtId="0" fontId="2" fillId="14" borderId="16" xfId="0" applyFont="1" applyFill="1" applyBorder="1" applyAlignment="1" applyProtection="1">
      <alignment vertical="center" wrapText="1"/>
      <protection hidden="1"/>
    </xf>
    <xf numFmtId="0" fontId="0" fillId="14" borderId="20" xfId="0" applyFill="1" applyBorder="1" applyAlignment="1">
      <alignment vertical="center"/>
    </xf>
    <xf numFmtId="0" fontId="2" fillId="14" borderId="38" xfId="0" applyFont="1" applyFill="1" applyBorder="1" applyAlignment="1">
      <alignment horizontal="right" vertical="center" indent="1"/>
    </xf>
    <xf numFmtId="0" fontId="0" fillId="14" borderId="38" xfId="0" applyFill="1" applyBorder="1" applyAlignment="1">
      <alignment horizontal="right" vertical="center" indent="1"/>
    </xf>
    <xf numFmtId="0" fontId="9" fillId="14" borderId="22" xfId="0" applyFont="1" applyFill="1" applyBorder="1" applyAlignment="1">
      <alignment vertical="center"/>
    </xf>
    <xf numFmtId="0" fontId="9" fillId="14" borderId="17" xfId="0" applyFont="1" applyFill="1" applyBorder="1" applyAlignment="1">
      <alignment vertical="center"/>
    </xf>
    <xf numFmtId="0" fontId="0" fillId="14" borderId="17" xfId="0" applyFill="1" applyBorder="1" applyAlignment="1">
      <alignment vertical="center"/>
    </xf>
    <xf numFmtId="0" fontId="10" fillId="14" borderId="17" xfId="0" applyFont="1" applyFill="1" applyBorder="1" applyAlignment="1" applyProtection="1">
      <alignment vertical="center"/>
      <protection hidden="1"/>
    </xf>
    <xf numFmtId="0" fontId="34" fillId="14" borderId="17" xfId="0" applyFont="1" applyFill="1" applyBorder="1" applyProtection="1">
      <protection hidden="1"/>
    </xf>
    <xf numFmtId="0" fontId="27" fillId="14" borderId="17" xfId="0" applyFont="1" applyFill="1" applyBorder="1" applyProtection="1">
      <protection hidden="1"/>
    </xf>
    <xf numFmtId="0" fontId="52" fillId="14" borderId="18" xfId="0" applyFont="1" applyFill="1" applyBorder="1" applyAlignment="1">
      <alignment horizontal="right" vertical="center"/>
    </xf>
    <xf numFmtId="0" fontId="22" fillId="14" borderId="24" xfId="0" applyFont="1" applyFill="1" applyBorder="1" applyAlignment="1" applyProtection="1">
      <alignment vertical="center"/>
      <protection hidden="1"/>
    </xf>
    <xf numFmtId="0" fontId="0" fillId="14" borderId="0" xfId="0" applyFill="1" applyAlignment="1" applyProtection="1">
      <alignment vertical="center"/>
      <protection hidden="1"/>
    </xf>
    <xf numFmtId="0" fontId="34" fillId="14" borderId="0" xfId="0" applyFont="1" applyFill="1" applyAlignment="1" applyProtection="1">
      <alignment vertical="top"/>
      <protection hidden="1"/>
    </xf>
    <xf numFmtId="0" fontId="27" fillId="14" borderId="0" xfId="0" applyFont="1" applyFill="1" applyAlignment="1" applyProtection="1">
      <alignment vertical="top"/>
      <protection hidden="1"/>
    </xf>
    <xf numFmtId="0" fontId="22" fillId="14" borderId="23" xfId="0" applyFont="1" applyFill="1" applyBorder="1" applyAlignment="1" applyProtection="1">
      <alignment vertical="center"/>
      <protection hidden="1"/>
    </xf>
    <xf numFmtId="0" fontId="0" fillId="14" borderId="16" xfId="0" applyFill="1" applyBorder="1" applyAlignment="1" applyProtection="1">
      <alignment vertical="center"/>
      <protection hidden="1"/>
    </xf>
    <xf numFmtId="0" fontId="28" fillId="14" borderId="16" xfId="0" applyFont="1" applyFill="1" applyBorder="1" applyAlignment="1" applyProtection="1">
      <alignment horizontal="right" vertical="center"/>
      <protection hidden="1"/>
    </xf>
    <xf numFmtId="0" fontId="30" fillId="14" borderId="16" xfId="0" applyFont="1" applyFill="1" applyBorder="1" applyAlignment="1" applyProtection="1">
      <alignment vertical="center"/>
      <protection hidden="1"/>
    </xf>
    <xf numFmtId="0" fontId="16" fillId="14" borderId="20" xfId="0" applyFont="1" applyFill="1" applyBorder="1" applyAlignment="1" applyProtection="1">
      <alignment horizontal="right" vertical="center"/>
      <protection hidden="1"/>
    </xf>
    <xf numFmtId="49" fontId="69" fillId="1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6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1" fillId="16" borderId="0" xfId="0" applyFont="1" applyFill="1" applyAlignment="1">
      <alignment vertical="center"/>
    </xf>
    <xf numFmtId="0" fontId="34" fillId="18" borderId="0" xfId="0" applyFont="1" applyFill="1" applyAlignment="1" applyProtection="1">
      <alignment horizontal="center" vertical="center" wrapText="1"/>
      <protection hidden="1"/>
    </xf>
    <xf numFmtId="0" fontId="24" fillId="19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vertical="center" wrapText="1"/>
      <protection hidden="1"/>
    </xf>
    <xf numFmtId="0" fontId="32" fillId="6" borderId="0" xfId="0" applyFont="1" applyFill="1" applyAlignment="1" applyProtection="1">
      <alignment vertical="center"/>
      <protection hidden="1"/>
    </xf>
    <xf numFmtId="0" fontId="38" fillId="5" borderId="0" xfId="0" applyFont="1" applyFill="1" applyAlignment="1" applyProtection="1">
      <alignment vertical="center" wrapText="1"/>
      <protection hidden="1"/>
    </xf>
    <xf numFmtId="0" fontId="55" fillId="5" borderId="0" xfId="0" applyFont="1" applyFill="1" applyAlignment="1" applyProtection="1">
      <alignment vertical="center" wrapText="1"/>
      <protection hidden="1"/>
    </xf>
    <xf numFmtId="0" fontId="39" fillId="5" borderId="0" xfId="0" applyFont="1" applyFill="1" applyAlignment="1" applyProtection="1">
      <alignment vertical="center" wrapText="1"/>
      <protection hidden="1"/>
    </xf>
    <xf numFmtId="0" fontId="55" fillId="7" borderId="0" xfId="0" applyFont="1" applyFill="1" applyAlignment="1" applyProtection="1">
      <alignment vertical="center" wrapText="1"/>
      <protection hidden="1"/>
    </xf>
    <xf numFmtId="0" fontId="54" fillId="20" borderId="0" xfId="0" applyFont="1" applyFill="1" applyAlignment="1" applyProtection="1">
      <alignment vertical="center" wrapText="1"/>
      <protection hidden="1"/>
    </xf>
    <xf numFmtId="0" fontId="56" fillId="15" borderId="0" xfId="0" applyFont="1" applyFill="1" applyAlignment="1">
      <alignment horizontal="right" vertical="center" indent="1"/>
    </xf>
    <xf numFmtId="0" fontId="5" fillId="14" borderId="51" xfId="0" applyFont="1" applyFill="1" applyBorder="1" applyAlignment="1" applyProtection="1">
      <alignment horizontal="center" vertical="center"/>
      <protection hidden="1"/>
    </xf>
    <xf numFmtId="0" fontId="2" fillId="14" borderId="51" xfId="0" applyFont="1" applyFill="1" applyBorder="1" applyAlignment="1">
      <alignment vertical="center"/>
    </xf>
    <xf numFmtId="0" fontId="37" fillId="14" borderId="51" xfId="0" applyFont="1" applyFill="1" applyBorder="1" applyAlignment="1" applyProtection="1">
      <alignment vertical="center" wrapText="1"/>
      <protection hidden="1"/>
    </xf>
    <xf numFmtId="0" fontId="39" fillId="14" borderId="51" xfId="0" applyFont="1" applyFill="1" applyBorder="1" applyAlignment="1" applyProtection="1">
      <alignment vertical="center" wrapText="1"/>
      <protection hidden="1"/>
    </xf>
    <xf numFmtId="0" fontId="0" fillId="14" borderId="51" xfId="0" applyFill="1" applyBorder="1" applyAlignment="1">
      <alignment horizontal="right" vertical="center" indent="1"/>
    </xf>
    <xf numFmtId="0" fontId="7" fillId="14" borderId="29" xfId="0" applyFont="1" applyFill="1" applyBorder="1" applyAlignment="1">
      <alignment horizontal="center" wrapText="1"/>
    </xf>
    <xf numFmtId="0" fontId="7" fillId="14" borderId="30" xfId="0" applyFont="1" applyFill="1" applyBorder="1" applyAlignment="1">
      <alignment horizontal="center" wrapText="1"/>
    </xf>
    <xf numFmtId="0" fontId="0" fillId="14" borderId="30" xfId="0" applyFill="1" applyBorder="1" applyAlignment="1">
      <alignment horizontal="center" vertical="top" wrapText="1"/>
    </xf>
    <xf numFmtId="0" fontId="7" fillId="14" borderId="11" xfId="0" applyFont="1" applyFill="1" applyBorder="1" applyAlignment="1">
      <alignment horizontal="center" vertical="center" wrapText="1"/>
    </xf>
    <xf numFmtId="0" fontId="44" fillId="14" borderId="11" xfId="0" applyFont="1" applyFill="1" applyBorder="1" applyAlignment="1">
      <alignment horizontal="center" vertical="center" wrapText="1"/>
    </xf>
    <xf numFmtId="0" fontId="7" fillId="14" borderId="31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/>
    </xf>
    <xf numFmtId="0" fontId="7" fillId="14" borderId="29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center" wrapText="1"/>
    </xf>
    <xf numFmtId="0" fontId="7" fillId="14" borderId="34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44" fillId="14" borderId="35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top" wrapText="1"/>
    </xf>
    <xf numFmtId="0" fontId="40" fillId="14" borderId="14" xfId="0" applyFont="1" applyFill="1" applyBorder="1" applyAlignment="1">
      <alignment horizontal="centerContinuous" wrapText="1"/>
    </xf>
    <xf numFmtId="0" fontId="40" fillId="14" borderId="9" xfId="0" applyFont="1" applyFill="1" applyBorder="1" applyAlignment="1">
      <alignment horizontal="centerContinuous" wrapText="1"/>
    </xf>
    <xf numFmtId="0" fontId="40" fillId="14" borderId="15" xfId="0" applyFont="1" applyFill="1" applyBorder="1" applyAlignment="1">
      <alignment horizontal="centerContinuous" wrapText="1"/>
    </xf>
    <xf numFmtId="0" fontId="41" fillId="14" borderId="12" xfId="0" applyFont="1" applyFill="1" applyBorder="1" applyAlignment="1">
      <alignment horizontal="centerContinuous" vertical="top" wrapText="1"/>
    </xf>
    <xf numFmtId="0" fontId="41" fillId="14" borderId="4" xfId="0" applyFont="1" applyFill="1" applyBorder="1" applyAlignment="1">
      <alignment horizontal="centerContinuous" vertical="top" wrapText="1"/>
    </xf>
    <xf numFmtId="0" fontId="41" fillId="14" borderId="13" xfId="0" applyFont="1" applyFill="1" applyBorder="1" applyAlignment="1">
      <alignment horizontal="centerContinuous" vertical="top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0" fillId="3" borderId="0" xfId="0" applyFill="1" applyAlignment="1" applyProtection="1">
      <alignment horizontal="left" vertical="top" wrapText="1"/>
      <protection hidden="1"/>
    </xf>
    <xf numFmtId="0" fontId="0" fillId="3" borderId="0" xfId="0" applyFill="1" applyAlignment="1">
      <alignment horizontal="left" vertical="top" wrapText="1"/>
    </xf>
    <xf numFmtId="0" fontId="63" fillId="11" borderId="0" xfId="0" applyFont="1" applyFill="1" applyAlignment="1">
      <alignment vertical="top" wrapText="1"/>
    </xf>
    <xf numFmtId="0" fontId="40" fillId="14" borderId="14" xfId="0" applyFont="1" applyFill="1" applyBorder="1" applyAlignment="1">
      <alignment horizontal="center" wrapText="1"/>
    </xf>
    <xf numFmtId="0" fontId="40" fillId="4" borderId="9" xfId="0" applyFont="1" applyFill="1" applyBorder="1" applyAlignment="1">
      <alignment horizontal="center" wrapText="1"/>
    </xf>
    <xf numFmtId="0" fontId="40" fillId="4" borderId="15" xfId="0" applyFont="1" applyFill="1" applyBorder="1" applyAlignment="1">
      <alignment horizontal="center" wrapText="1"/>
    </xf>
    <xf numFmtId="0" fontId="41" fillId="14" borderId="12" xfId="0" applyFont="1" applyFill="1" applyBorder="1" applyAlignment="1">
      <alignment horizontal="center" vertical="top" wrapText="1"/>
    </xf>
    <xf numFmtId="0" fontId="41" fillId="4" borderId="4" xfId="0" applyFont="1" applyFill="1" applyBorder="1" applyAlignment="1">
      <alignment horizontal="center" vertical="top" wrapText="1"/>
    </xf>
    <xf numFmtId="0" fontId="41" fillId="4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990033"/>
      <color rgb="FF0033CC"/>
      <color rgb="FF0000CC"/>
      <color rgb="FF339933"/>
      <color rgb="FF008000"/>
      <color rgb="FFFF6600"/>
      <color rgb="FFCCFF33"/>
      <color rgb="FFFEE8E6"/>
      <color rgb="FFFFFFCC"/>
      <color rgb="FFCCF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13533</xdr:colOff>
      <xdr:row>2</xdr:row>
      <xdr:rowOff>70684</xdr:rowOff>
    </xdr:from>
    <xdr:to>
      <xdr:col>4</xdr:col>
      <xdr:colOff>175939</xdr:colOff>
      <xdr:row>2</xdr:row>
      <xdr:rowOff>232589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9CA86B-949F-4B2F-9AA5-B5DE5EF0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2408" y="413584"/>
          <a:ext cx="162406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J74"/>
  <sheetViews>
    <sheetView showGridLines="0" tabSelected="1" zoomScale="90" zoomScaleNormal="90" workbookViewId="0">
      <pane ySplit="1" topLeftCell="A5" activePane="bottomLeft" state="frozen"/>
      <selection pane="bottomLeft" activeCell="D5" sqref="D5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8.7109375" style="1" customWidth="1"/>
    <col min="4" max="4" width="53" style="1" customWidth="1"/>
    <col min="5" max="5" width="10.28515625" style="3" customWidth="1"/>
    <col min="6" max="6" width="1" style="1" customWidth="1"/>
    <col min="7" max="7" width="22" style="1" customWidth="1"/>
    <col min="8" max="8" width="61" style="1" customWidth="1"/>
    <col min="9" max="9" width="2.140625" style="1" customWidth="1"/>
    <col min="10" max="10" width="2.42578125" style="1" customWidth="1"/>
    <col min="11" max="16384" width="9.140625" style="1"/>
  </cols>
  <sheetData>
    <row r="1" spans="2:10" ht="27" customHeight="1" x14ac:dyDescent="0.25">
      <c r="B1" s="222" t="s">
        <v>307</v>
      </c>
      <c r="C1" s="223"/>
      <c r="D1" s="223"/>
      <c r="E1" s="224"/>
      <c r="F1" s="161"/>
      <c r="G1" s="225" t="s">
        <v>211</v>
      </c>
      <c r="H1" s="226" t="s">
        <v>212</v>
      </c>
      <c r="I1" s="162"/>
    </row>
    <row r="2" spans="2:10" ht="21" hidden="1" x14ac:dyDescent="0.25">
      <c r="B2" s="171"/>
      <c r="C2" s="172"/>
      <c r="D2" s="172"/>
      <c r="E2" s="173"/>
      <c r="F2" s="172"/>
      <c r="G2" s="174"/>
      <c r="H2" s="175"/>
      <c r="I2" s="176"/>
    </row>
    <row r="3" spans="2:10" ht="23.25" customHeight="1" thickBot="1" x14ac:dyDescent="0.3">
      <c r="B3" s="177" t="s">
        <v>308</v>
      </c>
      <c r="C3" s="178"/>
      <c r="D3" s="178"/>
      <c r="E3" s="177" t="s">
        <v>340</v>
      </c>
      <c r="F3" s="178"/>
      <c r="G3" s="179" t="s">
        <v>63</v>
      </c>
      <c r="H3" s="172"/>
      <c r="I3" s="176"/>
    </row>
    <row r="4" spans="2:10" ht="18.75" customHeight="1" thickBot="1" x14ac:dyDescent="0.3">
      <c r="B4" s="163" t="s">
        <v>53</v>
      </c>
      <c r="C4" s="164" t="s">
        <v>6</v>
      </c>
      <c r="D4" s="165"/>
      <c r="E4" s="166" t="s">
        <v>40</v>
      </c>
      <c r="F4" s="179"/>
      <c r="G4" s="167"/>
      <c r="H4" s="168"/>
      <c r="I4" s="180"/>
      <c r="J4" s="2"/>
    </row>
    <row r="5" spans="2:10" ht="15.75" thickBot="1" x14ac:dyDescent="0.3">
      <c r="B5" s="181">
        <v>5</v>
      </c>
      <c r="C5" s="182" t="s">
        <v>1</v>
      </c>
      <c r="D5" s="52"/>
      <c r="E5" s="183" t="str">
        <f>IF($D$5=Data!A2,Data!B2,IF($D$5=Data!A3,Data!B3,IF($D$5=Data!A4,Data!B4,"")))</f>
        <v/>
      </c>
      <c r="F5" s="179"/>
      <c r="G5" s="184"/>
      <c r="H5" s="185"/>
      <c r="I5" s="180"/>
      <c r="J5" s="2"/>
    </row>
    <row r="6" spans="2:10" ht="15.75" thickBot="1" x14ac:dyDescent="0.3">
      <c r="B6" s="181">
        <v>6</v>
      </c>
      <c r="C6" s="182" t="s">
        <v>46</v>
      </c>
      <c r="D6" s="53"/>
      <c r="E6" s="183" t="str">
        <f>IF(D$6=Data!A6,Data!B6,IF(D$6=Data!A7,Data!B7,IF(D$6=Data!A8,Data!B8,IF(D$6=Data!A9,Data!B9,""))))</f>
        <v/>
      </c>
      <c r="F6" s="179"/>
      <c r="G6" s="184"/>
      <c r="H6" s="186"/>
      <c r="I6" s="180"/>
      <c r="J6" s="2"/>
    </row>
    <row r="7" spans="2:10" ht="16.5" thickBot="1" x14ac:dyDescent="0.3">
      <c r="B7" s="169" t="s">
        <v>157</v>
      </c>
      <c r="C7" s="164" t="s">
        <v>2</v>
      </c>
      <c r="D7" s="170" t="s">
        <v>157</v>
      </c>
      <c r="E7" s="221" t="s">
        <v>291</v>
      </c>
      <c r="F7" s="179"/>
      <c r="G7" s="167"/>
      <c r="H7" s="168"/>
      <c r="I7" s="180"/>
      <c r="J7" s="2"/>
    </row>
    <row r="8" spans="2:10" ht="15.75" thickBot="1" x14ac:dyDescent="0.3">
      <c r="B8" s="181">
        <v>8</v>
      </c>
      <c r="C8" s="182" t="s">
        <v>172</v>
      </c>
      <c r="D8" s="52"/>
      <c r="E8" s="183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IF(D$8=Data!A36,Data!B36,IF(D$8=Data!A37,Data!B37,"")))))))))))))))))))))))))))</f>
        <v/>
      </c>
      <c r="F8" s="179"/>
      <c r="G8" s="227" t="str">
        <f>IF(D8="",IF(E5=2,"Nejvýše DN200",""),"")</f>
        <v/>
      </c>
      <c r="H8" s="229" t="str">
        <f>IF(E5=2,IF(D8="","",IF(E8&gt;"15","CHYBA - Největší dimenze pro bezpřírubové čidlo je 200!","")),"")</f>
        <v/>
      </c>
      <c r="I8" s="180"/>
      <c r="J8" s="2"/>
    </row>
    <row r="9" spans="2:10" ht="15.75" thickBot="1" x14ac:dyDescent="0.3">
      <c r="B9" s="181">
        <v>9</v>
      </c>
      <c r="C9" s="187" t="str">
        <f>IF(E5=2,"Protipříruby na potrubí","Příruby čidla")</f>
        <v>Příruby čidla</v>
      </c>
      <c r="D9" s="54"/>
      <c r="E9" s="183" t="str">
        <f>IF(D$9=Data!A39,Data!B39,IF(D$9=Data!A40,Data!B40,IF(D$9=Data!A41,Data!B41,IF(D$9=Data!A42,Data!B42,IF(D$9=Data!A43,Data!B43,IF(D$9=Data!A44,Data!B44,IF(D$9=Data!A45,Data!B45,"")))))))</f>
        <v/>
      </c>
      <c r="F9" s="179"/>
      <c r="G9" s="228" t="str">
        <f>IF(D8="",IF(E5=2,"U bezpřírubového provedení, zde uveďte typ protipřírub na vašem potrubí.",""),"")</f>
        <v/>
      </c>
      <c r="H9" s="229" t="str">
        <f>IF(E8="xx","",IF(E8&gt;"21",IF(D9="","",IF(E9=2,"NELZE - Příruby ASME lze použít jen pro dimenze DN600 nebo menší!","")),IF(E8&lt;"22",IF(D9="","",IF(E9=4,"NELZE - Příruby AWWA použijte jen pro dimenze DN700 nebo větší!","")),"")))</f>
        <v/>
      </c>
      <c r="I9" s="180"/>
      <c r="J9" s="2"/>
    </row>
    <row r="10" spans="2:10" ht="15.75" thickBot="1" x14ac:dyDescent="0.3">
      <c r="B10" s="181">
        <v>10</v>
      </c>
      <c r="C10" s="182" t="s">
        <v>47</v>
      </c>
      <c r="D10" s="54"/>
      <c r="E10" s="183" t="str">
        <f>IF(D$10=Data!A47,Data!B47,IF(D$10=Data!A48,Data!B48,IF(D$10=Data!A49,Data!B49,IF(D$10=Data!A50,Data!B50,""))))</f>
        <v/>
      </c>
      <c r="F10" s="179"/>
      <c r="G10" s="184"/>
      <c r="H10" s="188"/>
      <c r="I10" s="180"/>
      <c r="J10" s="2"/>
    </row>
    <row r="11" spans="2:10" ht="15.75" thickBot="1" x14ac:dyDescent="0.3">
      <c r="B11" s="181">
        <v>11</v>
      </c>
      <c r="C11" s="182" t="s">
        <v>174</v>
      </c>
      <c r="D11" s="54"/>
      <c r="E11" s="183" t="str">
        <f>IF(D$11=Data!A52,Data!B52,IF(D$11=Data!A53,Data!B53,IF(D$11=Data!A54,Data!B54,IF(D$11=Data!A55,Data!B55,IF(D$11=Data!A56,Data!B56,IF(D$11=Data!A57,Data!B57,""))))))</f>
        <v/>
      </c>
      <c r="F11" s="179"/>
      <c r="G11" s="184"/>
      <c r="H11" s="188"/>
      <c r="I11" s="180"/>
      <c r="J11" s="2"/>
    </row>
    <row r="12" spans="2:10" ht="15.75" thickBot="1" x14ac:dyDescent="0.3">
      <c r="B12" s="181">
        <v>12</v>
      </c>
      <c r="C12" s="182" t="s">
        <v>306</v>
      </c>
      <c r="D12" s="55"/>
      <c r="E12" s="183" t="str">
        <f>IF(D$12=Data!A59,Data!B59,IF(D$12=Data!A60,Data!B60,""))</f>
        <v/>
      </c>
      <c r="F12" s="179"/>
      <c r="G12" s="184"/>
      <c r="H12" s="229" t="str">
        <f>IF(D12="","",IF(E12="1",IF(E8&gt;"04","","CHYBA - Nejmenší dimenze pro zemnicí elektrodu je 20!"),""))</f>
        <v/>
      </c>
      <c r="I12" s="180"/>
      <c r="J12" s="2"/>
    </row>
    <row r="13" spans="2:10" ht="15.75" thickBot="1" x14ac:dyDescent="0.3">
      <c r="B13" s="181">
        <v>13</v>
      </c>
      <c r="C13" s="182" t="s">
        <v>43</v>
      </c>
      <c r="D13" s="54"/>
      <c r="E13" s="183" t="str">
        <f>IF(D$13=Data!A62,Data!B62,IF(D$13=Data!A63,Data!B63,IF(D$13=Data!A64,Data!B64,IF(D$13=Data!A65,Data!B65,IF(D$13=Data!A66,Data!B66,IF(D$13=Data!A67,Data!B67,IF(D$13=Data!A68,Data!B68,"")))))))</f>
        <v/>
      </c>
      <c r="F13" s="179"/>
      <c r="G13" s="227" t="str">
        <f>IF(D13="",IF(E8="01","PVDF",IF(E8="02","PVDF",IF(E8="03","PVDF",""))),"")</f>
        <v/>
      </c>
      <c r="H13" s="229" t="str">
        <f>IF(E8="XX","",IF(E13=1,IF(E8&gt;"05","","CHYBA - dimenze neodpovídá vybrané výstelce!"),IF(E13=2,IF(E8&gt;"05","","CHYBA - dimenze neodpovídá vybrané výstelce!"),IF(E13=3,IF(E8&gt;"07","","CHYBA - dimenze neodpovídá vybrané výstelce!"),IF(E13=4,IF(E8&gt;"03","","CHYBA - dimenze neodpovídá vybrané výstelce!"),IF(E13=5,IF(E8&gt;"16","","CHYBA - dimenze neodpovídá vybrané výstelce!"),IF(E13=6,IF(E8&lt;"04","","CHYBA - dimenze neodpovídá vybrané výstelce!"),"")))))))</f>
        <v/>
      </c>
      <c r="I13" s="180"/>
      <c r="J13" s="2"/>
    </row>
    <row r="14" spans="2:10" ht="15.75" thickBot="1" x14ac:dyDescent="0.3">
      <c r="B14" s="181">
        <v>14</v>
      </c>
      <c r="C14" s="182" t="s">
        <v>44</v>
      </c>
      <c r="D14" s="54"/>
      <c r="E14" s="183" t="str">
        <f>IF(D$14=Data!A70,Data!B70,IF(D$14=Data!A71,Data!B71,IF(D$14=Data!A72,Data!B72,"")))</f>
        <v/>
      </c>
      <c r="F14" s="179"/>
      <c r="G14" s="227" t="str">
        <f>IF(D14="",IF(E6=0,"Standardní IP 65",IF(E6=4,"Standardní IP 65","")),"")</f>
        <v/>
      </c>
      <c r="H14" s="229" t="str">
        <f>IF(E14=2,IF(E6=1,"",IF(E6=5,"","CHYBA - IP 68 nelze provést u kompaktního provedení!")),"")</f>
        <v/>
      </c>
      <c r="I14" s="180"/>
      <c r="J14" s="2"/>
    </row>
    <row r="15" spans="2:10" ht="15.75" thickBot="1" x14ac:dyDescent="0.3">
      <c r="B15" s="181">
        <v>15</v>
      </c>
      <c r="C15" s="182" t="s">
        <v>54</v>
      </c>
      <c r="D15" s="56"/>
      <c r="E15" s="183" t="str">
        <f>IF(D$15=Data!A74,Data!B74,IF(D$15=Data!A75,Data!B75,IF(D$15=Data!A76,Data!B76,IF(D$15=Data!A77,Data!B77,IF(D$15=Data!A78,Data!B78,IF(D$15=Data!A79,Data!B79,""))))))</f>
        <v/>
      </c>
      <c r="F15" s="179"/>
      <c r="G15" s="227" t="str">
        <f>IF(D15="",IF(E8="XX","Nestandardní",IF(E8&gt;="23","PN 6",IF(E8&gt;="16","PN 10",IF(E8&gt;="10","PN 16",IF(E8&gt;="04","PN 40",IF(E8&gt;="01","PN 25","")))))),"")</f>
        <v/>
      </c>
      <c r="H15" s="232" t="str">
        <f>IF(E8="XX","",IF(E15="X","",IF(D15="","",IF(E8&gt;="23",IF(E15=1,"","Kombinace dimenze a tlaku není ve standardním výrobním programu."),IF(E8&gt;="16",IF(E15=2,"","Kombinace dimenze a tlaku není ve standardním výrobním programu."),IF(E8&gt;="10",IF(E15=3,"","Kombinace dimenze a tlaku není ve standardním výrobním programu."),IF(E8&gt;="04",IF(E15=5,"","Kombinace dimenze a tlaku není ve standardním výrobním programu."),IF(E8&gt;="01",IF(E15=4,"","Kombinace dimenze a tlaku není ve standardním výrobním programu."),""))))))))</f>
        <v/>
      </c>
      <c r="I15" s="180"/>
      <c r="J15" s="2"/>
    </row>
    <row r="16" spans="2:10" ht="18.75" thickBot="1" x14ac:dyDescent="0.3">
      <c r="B16" s="181">
        <v>16</v>
      </c>
      <c r="C16" s="182" t="s">
        <v>250</v>
      </c>
      <c r="D16" s="54"/>
      <c r="E16" s="183" t="str">
        <f>IF(D$16=Data!A81,Data!B81,IF(D$16=Data!A82,Data!B82,IF(D$16=Data!A83,Data!B83,IF(D$16=Data!A84,Data!B84,IF(D$16=Data!A85,Data!B85,IF(D$16=Data!A86,Data!B86,IF(D$16=Data!A87,Data!B87,IF(D$16=Data!A88,Data!B88,IF(D$16=Data!A89,Data!B89,"")))))))))</f>
        <v/>
      </c>
      <c r="F16" s="179"/>
      <c r="G16" s="227" t="str">
        <f>IF(D16="",IF(E6=0,"Max. 60 °C",IF(E6=4,"Max. 60 °C","")),"")</f>
        <v/>
      </c>
      <c r="H16" s="229" t="str">
        <f>IF(D16="","",IF(E16="x","",IF(E6=0,IF(E16&lt;=2,"","CHYBA - Pro zvolenou teplotu nelze použít kompaktní provedení!"),IF(E6=4,IF(E16&lt;=2,"","CHYBA - Pro zvolenou teplotu nelze použít kompaktní provedení!"),IF(E13&lt;=3,IF(E16&lt;=3,"","CHYBA - Zvolená teplota neodpovídá materiálu výstelky!"),IF(E13=5,IF(E16&lt;=6,"","CHYBA - Zvolená teplota neodpovídá materiálu výstelky!"),IF(E13=6,IF(E16&lt;=6,"","CHYBA - Zvolená teplota neodpovídá materiálu výstelky!"),"")))))))</f>
        <v/>
      </c>
      <c r="I16" s="180"/>
      <c r="J16" s="2"/>
    </row>
    <row r="17" spans="2:10" ht="18.75" thickBot="1" x14ac:dyDescent="0.3">
      <c r="B17" s="181">
        <v>17</v>
      </c>
      <c r="C17" s="182" t="s">
        <v>223</v>
      </c>
      <c r="D17" s="56"/>
      <c r="E17" s="183" t="str">
        <f>IF(D17=Data!A91,Data!B91,IF(D17=Data!A92,Data!B92,""))</f>
        <v/>
      </c>
      <c r="F17" s="179"/>
      <c r="G17" s="184"/>
      <c r="H17" s="188"/>
      <c r="I17" s="180"/>
      <c r="J17" s="2"/>
    </row>
    <row r="18" spans="2:10" ht="15.75" thickBot="1" x14ac:dyDescent="0.3">
      <c r="B18" s="181">
        <v>18</v>
      </c>
      <c r="C18" s="182" t="s">
        <v>56</v>
      </c>
      <c r="D18" s="56"/>
      <c r="E18" s="183" t="str">
        <f>IF(D18=Data!A94,Data!B94,IF(D18=Data!A95,Data!B95,IF(D18=Data!A96,Data!B96,IF(D18=Data!A97,Data!B97,IF(D18=Data!A98,Data!B98,"")))))</f>
        <v/>
      </c>
      <c r="F18" s="179"/>
      <c r="G18" s="184"/>
      <c r="H18" s="188"/>
      <c r="I18" s="180"/>
      <c r="J18" s="2"/>
    </row>
    <row r="19" spans="2:10" ht="15.75" thickBot="1" x14ac:dyDescent="0.3">
      <c r="B19" s="181">
        <v>19</v>
      </c>
      <c r="C19" s="182" t="s">
        <v>328</v>
      </c>
      <c r="D19" s="56"/>
      <c r="E19" s="183" t="str">
        <f>IF(D$19=Data!A100,Data!B100,IF(D$19=Data!A101,Data!B101,""))</f>
        <v/>
      </c>
      <c r="F19" s="179"/>
      <c r="G19" s="184"/>
      <c r="H19" s="188"/>
      <c r="I19" s="180"/>
      <c r="J19" s="2"/>
    </row>
    <row r="20" spans="2:10" ht="15.75" thickBot="1" x14ac:dyDescent="0.3">
      <c r="B20" s="181">
        <v>20</v>
      </c>
      <c r="C20" s="182" t="s">
        <v>60</v>
      </c>
      <c r="D20" s="56"/>
      <c r="E20" s="183" t="str">
        <f>IF(D20=Data!A103,Data!B103,IF(D20=Data!A104,Data!B104,""))</f>
        <v/>
      </c>
      <c r="F20" s="179"/>
      <c r="G20" s="227" t="str">
        <f>IF(D20="",IF(E8="","",IF(E8&lt;="06","Ne","")),"")</f>
        <v/>
      </c>
      <c r="H20" s="229" t="str">
        <f>IF(E20="1",IF(E8&gt;"06","","CHYBA - Indikaci lze použít u dimenze 32 a vyšší!"),"")</f>
        <v/>
      </c>
      <c r="I20" s="180"/>
      <c r="J20" s="2"/>
    </row>
    <row r="21" spans="2:10" ht="15.75" thickBot="1" x14ac:dyDescent="0.3">
      <c r="B21" s="181">
        <v>21</v>
      </c>
      <c r="C21" s="182" t="s">
        <v>199</v>
      </c>
      <c r="D21" s="57"/>
      <c r="E21" s="183" t="str">
        <f>IF(D21=Data!A106,Data!B106,IF(D21=Data!A107,Data!B107,IF(D21=Data!A108,Data!B108,IF(D21=Data!A109,Data!B109,IF(D21=Data!A110,Data!B110,IF(D21=Data!A111,Data!B111,""))))))</f>
        <v/>
      </c>
      <c r="F21" s="179"/>
      <c r="G21" s="184"/>
      <c r="H21" s="229" t="str">
        <f>IF(D21="","",IF(E22="0",IF(E21="0","","CHYBA - nesoulad s následující hodnotou PED"),""))</f>
        <v/>
      </c>
      <c r="I21" s="180"/>
      <c r="J21" s="2"/>
    </row>
    <row r="22" spans="2:10" ht="15.75" thickBot="1" x14ac:dyDescent="0.3">
      <c r="B22" s="181">
        <v>22</v>
      </c>
      <c r="C22" s="234" t="s">
        <v>201</v>
      </c>
      <c r="D22" s="50"/>
      <c r="E22" s="183" t="str">
        <f>IF(E21="0","0",IF(D22=Data!A113,Data!B113,IF(D22=Data!A114,Data!B114,IF(D22=Data!A115,Data!B115,IF(D22=Data!A116,Data!B116,IF(D22=Data!A117,Data!B117,""))))))</f>
        <v/>
      </c>
      <c r="F22" s="179"/>
      <c r="G22" s="184"/>
      <c r="H22" s="229" t="str">
        <f>IF(D22="","",IF(E21="0",IF(D22="PED není požadováno","","CHYBA - PED není požadováno - Kategorii neuvádějte!"),""))</f>
        <v/>
      </c>
      <c r="I22" s="189"/>
      <c r="J22" s="2"/>
    </row>
    <row r="23" spans="2:10" ht="15.75" thickBot="1" x14ac:dyDescent="0.3">
      <c r="B23" s="181">
        <v>23</v>
      </c>
      <c r="C23" s="239" t="s">
        <v>200</v>
      </c>
      <c r="D23" s="50"/>
      <c r="E23" s="235" t="str">
        <f>IF(D23="",IF(D24="","",0),1)</f>
        <v/>
      </c>
      <c r="F23" s="236"/>
      <c r="G23" s="237"/>
      <c r="H23" s="238"/>
      <c r="I23" s="190" t="s">
        <v>259</v>
      </c>
      <c r="J23" s="2"/>
    </row>
    <row r="24" spans="2:10" ht="15.75" thickBot="1" x14ac:dyDescent="0.3">
      <c r="B24" s="181">
        <v>24</v>
      </c>
      <c r="C24" s="182" t="s">
        <v>215</v>
      </c>
      <c r="D24" s="54"/>
      <c r="E24" s="183" t="str">
        <f>IF(D$24=Data!A121,Data!B121,IF(D$24=Data!A122,Data!B122,""))</f>
        <v/>
      </c>
      <c r="F24" s="179"/>
      <c r="G24" s="227" t="str">
        <f>IF(D24="",IF(E12="1","Bez zemnicích kroužků",""),"")</f>
        <v/>
      </c>
      <c r="H24" s="230" t="str">
        <f>IF(D24="","",IF(E24="0","",IF(E11=E24,"","Materiál elektrod a zemnících kroužků by měl být stejný.")))</f>
        <v/>
      </c>
      <c r="I24" s="180"/>
      <c r="J24" s="2"/>
    </row>
    <row r="25" spans="2:10" ht="15.75" thickBot="1" x14ac:dyDescent="0.3">
      <c r="B25" s="181">
        <v>25</v>
      </c>
      <c r="C25" s="187" t="s">
        <v>202</v>
      </c>
      <c r="D25" s="50"/>
      <c r="E25" s="191" t="str">
        <f>IF(E6=0,"0",IF(E6=4,"0",IF(D$25=Data!A124,Data!B124,IF(D$25=Data!A125,Data!B125,IF(D$25=Data!A126,Data!B126,IF(D$25=Data!A127,Data!B127,IF(D$25=Data!A128,Data!B128,IF(D$25=Data!A129,Data!B129,IF(D$25=Data!A130,Data!B130,IF(D$25=Data!A131,Data!B131,IF(D$25=Data!A132,Data!B132,"")))))))))))</f>
        <v/>
      </c>
      <c r="F25" s="179"/>
      <c r="G25" s="184"/>
      <c r="H25" s="229" t="str">
        <f>IF(D25="","",IF(E6=0,IF(D25="0","","CHYBA - Ke kompaktnímu provedení nepatří kabel! Hodnotu smažte!"),IF(E6=4,IF(D25="0","","CHYBA - Ke kompaktnímu provedení nepatří kabel! Hodnotu smažte!"),IF(E20="1",IF(E25&gt;2,"CHYBA - Při indikaci nezaplaveného potrubí může být kabel max. 10 m!",""),""))))</f>
        <v/>
      </c>
      <c r="I25" s="180"/>
      <c r="J25" s="2"/>
    </row>
    <row r="26" spans="2:10" ht="16.5" thickBot="1" x14ac:dyDescent="0.3">
      <c r="B26" s="169" t="s">
        <v>157</v>
      </c>
      <c r="C26" s="164" t="s">
        <v>64</v>
      </c>
      <c r="D26" s="170" t="s">
        <v>157</v>
      </c>
      <c r="E26" s="221" t="s">
        <v>0</v>
      </c>
      <c r="F26" s="179"/>
      <c r="G26" s="167"/>
      <c r="H26" s="168"/>
      <c r="I26" s="180"/>
      <c r="J26" s="2"/>
    </row>
    <row r="27" spans="2:10" ht="15.75" thickBot="1" x14ac:dyDescent="0.3">
      <c r="B27" s="181">
        <v>27</v>
      </c>
      <c r="C27" s="182" t="s">
        <v>65</v>
      </c>
      <c r="D27" s="18"/>
      <c r="E27" s="183" t="str">
        <f>IF(D27=Data!A134,Data!B134,IF(D27=Data!A135,Data!B135,""))</f>
        <v/>
      </c>
      <c r="F27" s="179"/>
      <c r="G27" s="184"/>
      <c r="H27" s="188"/>
      <c r="I27" s="180"/>
      <c r="J27" s="2"/>
    </row>
    <row r="28" spans="2:10" ht="15.75" thickBot="1" x14ac:dyDescent="0.3">
      <c r="B28" s="181">
        <v>28</v>
      </c>
      <c r="C28" s="182" t="s">
        <v>69</v>
      </c>
      <c r="D28" s="11"/>
      <c r="E28" s="183" t="str">
        <f>IF(D28=Data!A137,Data!B137,IF(D28=Data!A138,Data!B138,""))</f>
        <v/>
      </c>
      <c r="F28" s="179"/>
      <c r="G28" s="184"/>
      <c r="H28" s="188"/>
      <c r="I28" s="180"/>
      <c r="J28" s="2"/>
    </row>
    <row r="29" spans="2:10" ht="15.75" thickBot="1" x14ac:dyDescent="0.3">
      <c r="B29" s="181">
        <v>29</v>
      </c>
      <c r="C29" s="187" t="s">
        <v>70</v>
      </c>
      <c r="D29" s="11"/>
      <c r="E29" s="183" t="str">
        <f>IF(E6&lt;2,0,IF(D29=Data!A140,Data!B140,IF(D29=Data!A141,Data!B141,"")))</f>
        <v/>
      </c>
      <c r="F29" s="179"/>
      <c r="G29" s="184"/>
      <c r="H29" s="229" t="str">
        <f>IF($E$6&lt;2,IF(D29="","","U provedení ECONOMIC nelze dávkování nastavit - údaj musí být prázdný."),"")</f>
        <v/>
      </c>
      <c r="I29" s="180"/>
      <c r="J29" s="2"/>
    </row>
    <row r="30" spans="2:10" ht="15.75" thickBot="1" x14ac:dyDescent="0.3">
      <c r="B30" s="181">
        <v>30</v>
      </c>
      <c r="C30" s="187" t="s">
        <v>281</v>
      </c>
      <c r="D30" s="11"/>
      <c r="E30" s="183" t="str">
        <f>IF(E29="","",IF(E29=0,0,IF(D30="","",IF(D30=Data!A144,Data!B144,IF(D30=Data!A145,Data!B145,IF(D30=Data!A146,Data!B146,IF(D30=Data!A147,Data!B147,IF(D30=Data!A148,Data!B148,""))))))))</f>
        <v/>
      </c>
      <c r="F30" s="179"/>
      <c r="G30" s="184"/>
      <c r="H30" s="229" t="str">
        <f>IF(E29=0,IF(D30&gt;0.1,"Když dávkování není, řádka musí být prázdná.",""),"")</f>
        <v/>
      </c>
      <c r="I30" s="180"/>
      <c r="J30" s="2"/>
    </row>
    <row r="31" spans="2:10" ht="15.75" thickBot="1" x14ac:dyDescent="0.3">
      <c r="B31" s="181">
        <v>31</v>
      </c>
      <c r="C31" s="182" t="s">
        <v>71</v>
      </c>
      <c r="D31" s="10"/>
      <c r="E31" s="183" t="str">
        <f>IF(D31=Data!A150,Data!B150,IF(D31=Data!A151,Data!B151,""))</f>
        <v/>
      </c>
      <c r="F31" s="179"/>
      <c r="G31" s="184"/>
      <c r="H31" s="188"/>
      <c r="I31" s="180"/>
      <c r="J31" s="2"/>
    </row>
    <row r="32" spans="2:10" ht="15.75" thickBot="1" x14ac:dyDescent="0.3">
      <c r="B32" s="181">
        <v>32</v>
      </c>
      <c r="C32" s="187" t="s">
        <v>240</v>
      </c>
      <c r="D32" s="11"/>
      <c r="E32" s="183" t="str">
        <f>IF(E6&lt;2,0,IF(D32=Data!A154,Data!B154,IF(D32=Data!A155,Data!B155,IF(D32=Data!A156,Data!B156,IF(D32=Data!A157,Data!B157,IF(D32=Data!A158,Data!B158,IF(D32=Data!A159,Data!B159,IF(D32=Data!A160,Data!B160,IF(D32=Data!A161,Data!B161,IF(D32=Data!A162,Data!B162,IF(D32=Data!A163,Data!B163,"")))))))))))</f>
        <v/>
      </c>
      <c r="F32" s="179"/>
      <c r="G32" s="184"/>
      <c r="H32" s="229" t="str">
        <f>IF($E$6&lt;2,IF(D32="","","U provedení ECONOMIC nelze jednotky nastavit - údaj musí být prázdný."),"")</f>
        <v/>
      </c>
      <c r="I32" s="180"/>
      <c r="J32" s="2"/>
    </row>
    <row r="33" spans="2:10" ht="15.75" thickBot="1" x14ac:dyDescent="0.3">
      <c r="B33" s="181">
        <v>33</v>
      </c>
      <c r="C33" s="182" t="s">
        <v>239</v>
      </c>
      <c r="D33" s="10"/>
      <c r="E33" s="183" t="str">
        <f>IF(D33=Data!A165,Data!B165,IF(D33=Data!A166,Data!B166,IF(D33=Data!A167,Data!B167,IF(D33=Data!A168,Data!B168,IF(D33=Data!A169,Data!B169,IF(D33=Data!A170,Data!B170,IF(D33=Data!A171,Data!B171,IF(D33=Data!A172,Data!B172,IF(D33=Data!A173,Data!B173,"")))))))))</f>
        <v/>
      </c>
      <c r="F33" s="179"/>
      <c r="G33" s="184"/>
      <c r="H33" s="231"/>
      <c r="I33" s="180"/>
      <c r="J33" s="2"/>
    </row>
    <row r="34" spans="2:10" ht="15.75" thickBot="1" x14ac:dyDescent="0.3">
      <c r="B34" s="181">
        <v>34</v>
      </c>
      <c r="C34" s="187" t="s">
        <v>241</v>
      </c>
      <c r="D34" s="11"/>
      <c r="E34" s="183" t="str">
        <f>IF(E33="0","0",IF(D34=Data!A176,Data!B176,IF(D34=Data!A177,Data!B177,IF(D34=Data!A178,Data!B178,IF(D34=Data!A179,Data!B179,"")))))</f>
        <v/>
      </c>
      <c r="F34" s="179"/>
      <c r="G34" s="184"/>
      <c r="H34" s="229" t="str">
        <f>IF(E33="0",IF(D34="","","CHYBA - Impulzní číslo není požadováno, údaj musí být prázdný!"),"")</f>
        <v/>
      </c>
      <c r="I34" s="180"/>
      <c r="J34" s="2"/>
    </row>
    <row r="35" spans="2:10" ht="15.75" thickBot="1" x14ac:dyDescent="0.3">
      <c r="B35" s="181">
        <v>35</v>
      </c>
      <c r="C35" s="187" t="s">
        <v>79</v>
      </c>
      <c r="D35" s="11"/>
      <c r="E35" s="183" t="str">
        <f>IF(E6&lt;2,0,IF(D35=Data!A182,Data!B182,IF(D35=Data!A183,Data!B183,IF(D35=Data!A184,Data!B184,IF(D35=Data!A185,Data!B185,IF(D35=Data!A186,Data!B186,IF(D35=Data!A187,Data!B187,IF(D35=Data!A188,Data!B188,IF(D35=Data!A189,Data!B189,"")))))))))</f>
        <v/>
      </c>
      <c r="F35" s="179"/>
      <c r="G35" s="184"/>
      <c r="H35" s="229" t="str">
        <f>IF($E$6&lt;2,IF(D35="","","U provedení ECONOMIC musí být údaj prázdný."),"")</f>
        <v/>
      </c>
      <c r="I35" s="180"/>
      <c r="J35" s="2"/>
    </row>
    <row r="36" spans="2:10" ht="15.75" thickBot="1" x14ac:dyDescent="0.3">
      <c r="B36" s="181">
        <v>36</v>
      </c>
      <c r="C36" s="187" t="s">
        <v>80</v>
      </c>
      <c r="D36" s="11"/>
      <c r="E36" s="183" t="str">
        <f>IF(E6&lt;2,0,IF(D36=Data!A191,Data!B191,IF(D36=Data!A192,Data!B192,"")))</f>
        <v/>
      </c>
      <c r="F36" s="179"/>
      <c r="G36" s="184"/>
      <c r="H36" s="229" t="str">
        <f>IF($E$6&lt;2,IF(D36="","","U provedení ECONOMIC musí být údaj prázdný."),"")</f>
        <v/>
      </c>
      <c r="I36" s="180"/>
      <c r="J36" s="2"/>
    </row>
    <row r="37" spans="2:10" ht="18.75" thickBot="1" x14ac:dyDescent="0.3">
      <c r="B37" s="181">
        <v>37</v>
      </c>
      <c r="C37" s="182" t="s">
        <v>88</v>
      </c>
      <c r="D37" s="19"/>
      <c r="E37" s="183" t="str">
        <f>IF(D37=Data!A194,Data!B194,IF(D37=Data!A195,Data!B195,IF(D37=Data!A196,Data!B196,IF(D37=Data!A197,Data!B197,IF(D37=Data!A198,Data!B198,IF(D37=Data!A199,Data!B199,IF(D37=Data!A200,Data!B200,IF(D37=Data!A201,Data!B201,IF(D37=Data!A202,Data!B202,IF(D37=Data!A203,Data!B203,""))))))))))</f>
        <v/>
      </c>
      <c r="F37" s="179"/>
      <c r="G37" s="184"/>
      <c r="H37" s="188"/>
      <c r="I37" s="180"/>
      <c r="J37" s="2"/>
    </row>
    <row r="38" spans="2:10" ht="15.75" thickBot="1" x14ac:dyDescent="0.3">
      <c r="B38" s="181">
        <v>38</v>
      </c>
      <c r="C38" s="182" t="s">
        <v>94</v>
      </c>
      <c r="D38" s="11"/>
      <c r="E38" s="183" t="str">
        <f>IF(D$38=Data!A205,Data!B205,IF(D$38=Data!A206,Data!B206,IF(D$38=Data!A207,Data!B207,IF(D$38=Data!A208,Data!B208,IF(D$38=Data!A209,Data!B209,IF(D$38=Data!A210,Data!B210,IF(D$38=Data!A211,Data!B211,IF(D$38=Data!A212,Data!B212,IF(D$38=Data!A213,Data!B213,IF(D$38=Data!A214,Data!B214,IF(D$38=Data!A215,Data!B215,IF(D$38=Data!A216,Data!B216,IF(D$38=Data!A217,Data!B217,IF(D$38=Data!A218,Data!B218,IF(D$38=Data!A219,Data!B219,IF(D$38=Data!A220,Data!B220,IF(D$38=Data!A221,Data!B221,IF(D$38=Data!A222,Data!B222,IF(D$38=Data!A223,Data!B223,IF(D$38=Data!A224,Data!B224,""))))))))))))))))))))</f>
        <v/>
      </c>
      <c r="F38" s="179"/>
      <c r="G38" s="184"/>
      <c r="H38" s="188"/>
      <c r="I38" s="180"/>
      <c r="J38" s="2"/>
    </row>
    <row r="39" spans="2:10" ht="15.75" thickBot="1" x14ac:dyDescent="0.3">
      <c r="B39" s="181">
        <v>39</v>
      </c>
      <c r="C39" s="182" t="s">
        <v>98</v>
      </c>
      <c r="D39" s="20"/>
      <c r="E39" s="183" t="str">
        <f>IF(D$39=Data!A226,Data!B226,IF(D$39=Data!A227,Data!B227,IF(D$39=Data!A228,Data!B228,IF(D$39=Data!A229,Data!B229,IF(D$39=Data!A230,Data!B230,IF(D$39=Data!A231,Data!B231,IF(D$39=Data!A232,Data!B232,IF(D$39=Data!A233,Data!B233,IF(D$39=Data!A234,Data!B234,IF(D$39=Data!A235,Data!B235,IF(D$39=Data!A236,Data!B236,IF(D$39=Data!A237,Data!B237,IF(D$39=Data!A238,Data!B238,IF(D$39=Data!A239,Data!B239,IF(D$39=Data!A240,Data!B240,IF(D$39=Data!A241,Data!B241,IF(D$39=Data!A242,Data!B242,IF(D$39=Data!A243,Data!B243,IF(D$39=Data!A244,Data!B244,IF(D$39=Data!A245,Data!B245,""))))))))))))))))))))</f>
        <v/>
      </c>
      <c r="F39" s="172"/>
      <c r="G39" s="184"/>
      <c r="H39" s="233" t="str">
        <f>IF(E38="05",IF(E39="X8","Pozor, musíte použít stejný frekvenční rozsah, jako u OUT1",""),IF(E38="06",IF(E39="X8","Pozor, musíte použít stejný frekvenční rozsah, jako u OUT1",""),IF(E38="07",IF(E39="X8","Pozor, musíte použít stejný frekvenční rozsah, jako u OUT1",""),"")))</f>
        <v/>
      </c>
      <c r="I39" s="192"/>
    </row>
    <row r="40" spans="2:10" ht="15.75" thickBot="1" x14ac:dyDescent="0.3">
      <c r="B40" s="181">
        <v>40</v>
      </c>
      <c r="C40" s="182" t="s">
        <v>100</v>
      </c>
      <c r="D40" s="11"/>
      <c r="E40" s="183" t="str">
        <f>IF(D$40=Data!A247,Data!B247,IF(D$40=Data!A248,Data!B248,""))</f>
        <v/>
      </c>
      <c r="F40" s="172"/>
      <c r="G40" s="184"/>
      <c r="H40" s="186"/>
      <c r="I40" s="192"/>
    </row>
    <row r="41" spans="2:10" ht="15.75" thickBot="1" x14ac:dyDescent="0.3">
      <c r="B41" s="181">
        <v>41</v>
      </c>
      <c r="C41" s="182" t="s">
        <v>116</v>
      </c>
      <c r="D41" s="20"/>
      <c r="E41" s="183" t="str">
        <f>IF(D41=Data!A250,Data!B250,IF(D41=Data!A251,Data!B251,IF(D41=Data!A252,Data!B252,IF(D41=Data!A253,Data!B253,IF(D41=Data!A254,Data!B254,IF(D41=Data!A255,Data!B255,IF(D41=Data!A256,Data!B256,IF(D41=Data!A257,Data!B257,IF(D41=Data!A258,Data!B258,IF(D41=Data!A259,Data!B259,""))))))))))</f>
        <v/>
      </c>
      <c r="F41" s="172"/>
      <c r="G41" s="184"/>
      <c r="H41" s="186"/>
      <c r="I41" s="192"/>
    </row>
    <row r="42" spans="2:10" ht="15.75" thickBot="1" x14ac:dyDescent="0.3">
      <c r="B42" s="181">
        <v>42</v>
      </c>
      <c r="C42" s="182" t="s">
        <v>140</v>
      </c>
      <c r="D42" s="19"/>
      <c r="E42" s="183" t="str">
        <f>IF(D42=Data!A261,Data!B261,IF(D42=Data!A262,Data!B262,IF(D42=Data!A263,Data!B263,IF(D42=Data!A264,Data!B264,IF(D42=Data!A265,Data!B265,"")))))</f>
        <v/>
      </c>
      <c r="F42" s="172"/>
      <c r="G42" s="184"/>
      <c r="H42" s="186"/>
      <c r="I42" s="192"/>
    </row>
    <row r="43" spans="2:10" ht="16.5" thickBot="1" x14ac:dyDescent="0.3">
      <c r="B43" s="169" t="s">
        <v>157</v>
      </c>
      <c r="C43" s="164" t="s">
        <v>158</v>
      </c>
      <c r="D43" s="170" t="s">
        <v>157</v>
      </c>
      <c r="E43" s="221" t="s">
        <v>0</v>
      </c>
      <c r="F43" s="179"/>
      <c r="G43" s="167"/>
      <c r="H43" s="168"/>
      <c r="I43" s="180"/>
    </row>
    <row r="44" spans="2:10" ht="15.75" thickBot="1" x14ac:dyDescent="0.3">
      <c r="B44" s="181">
        <v>44</v>
      </c>
      <c r="C44" s="182" t="s">
        <v>128</v>
      </c>
      <c r="D44" s="11"/>
      <c r="E44" s="183" t="str">
        <f>IF(D44=Data!A267,Data!B267,IF(D44=Data!A268,Data!B268,""))</f>
        <v/>
      </c>
      <c r="F44" s="172"/>
      <c r="G44" s="184"/>
      <c r="H44" s="186"/>
      <c r="I44" s="192"/>
    </row>
    <row r="45" spans="2:10" ht="15.75" thickBot="1" x14ac:dyDescent="0.3">
      <c r="B45" s="181">
        <v>45</v>
      </c>
      <c r="C45" s="187" t="s">
        <v>208</v>
      </c>
      <c r="D45" s="10"/>
      <c r="E45" s="193" t="str">
        <f>IF(E$44="0","000",IF(D45="","",IF(D45=0,"000",IF(D45&gt;0,D45,""))))</f>
        <v/>
      </c>
      <c r="F45" s="172"/>
      <c r="G45" s="184"/>
      <c r="H45" s="229" t="str">
        <f>IF(D45="","",IF(E$44="0","CHYBA - komunikace není požadována, údaj musí být prázdný",""))</f>
        <v/>
      </c>
      <c r="I45" s="192"/>
    </row>
    <row r="46" spans="2:10" ht="15.75" thickBot="1" x14ac:dyDescent="0.3">
      <c r="B46" s="181">
        <v>46</v>
      </c>
      <c r="C46" s="187" t="s">
        <v>209</v>
      </c>
      <c r="D46" s="10"/>
      <c r="E46" s="193" t="str">
        <f>IF(E$44="0","000",IF(D46="","",IF(D46=0,"000",IF(D46&gt;0,D46,""))))</f>
        <v/>
      </c>
      <c r="F46" s="172"/>
      <c r="G46" s="184"/>
      <c r="H46" s="229" t="str">
        <f>IF(D46="","",IF(E$44="0","CHYBA - komunikace není požadována, údaj musí být prázdný",""))</f>
        <v/>
      </c>
      <c r="I46" s="192"/>
    </row>
    <row r="47" spans="2:10" ht="15.75" thickBot="1" x14ac:dyDescent="0.3">
      <c r="B47" s="181">
        <v>47</v>
      </c>
      <c r="C47" s="187" t="s">
        <v>141</v>
      </c>
      <c r="D47" s="11"/>
      <c r="E47" s="183" t="str">
        <f>IF(E44="0","0",IF(D47=Data!A275,Data!B275,IF(D47=Data!A276,Data!B276,IF(D47=Data!A277,Data!B277,IF(D47=Data!A278,Data!B278,IF(D47=Data!A279,Data!B279,IF(D47=Data!A280,Data!B280,"")))))))</f>
        <v/>
      </c>
      <c r="F47" s="172"/>
      <c r="G47" s="184"/>
      <c r="H47" s="229" t="str">
        <f>IF(D47="","",IF(E$44="0",IF(D47="0","","CHYBA - komunikace není požadována, údaj musí být prázdný!"),IF(D47="0","CHYBA - zvolte rychlost v Bd","")))</f>
        <v/>
      </c>
      <c r="I47" s="192"/>
    </row>
    <row r="48" spans="2:10" ht="15.75" thickBot="1" x14ac:dyDescent="0.3">
      <c r="B48" s="181">
        <v>48</v>
      </c>
      <c r="C48" s="187" t="s">
        <v>129</v>
      </c>
      <c r="D48" s="19"/>
      <c r="E48" s="183" t="str">
        <f>IF(E44="0","0",IF(D48=Data!A282,Data!B282,IF(D48=Data!A283,Data!B283,IF(D48=Data!A284,Data!B284,IF(D48=Data!A285,Data!B285,IF(D48=Data!A286,Data!B286,IF(D48=Data!A287,Data!B287,"")))))))</f>
        <v/>
      </c>
      <c r="F48" s="172"/>
      <c r="G48" s="184"/>
      <c r="H48" s="229" t="str">
        <f>IF(D48="","",IF(E$44="0",IF(D48="Bez komunikace","","CHYBA - komunikace není požadována, údaj musí být prázdný!"),IF(E48=0,"CHYBA - zvolte jinou hodnotu parity","")))</f>
        <v/>
      </c>
      <c r="I48" s="192"/>
    </row>
    <row r="49" spans="2:9" ht="16.5" thickBot="1" x14ac:dyDescent="0.3">
      <c r="B49" s="169" t="s">
        <v>157</v>
      </c>
      <c r="C49" s="164" t="s">
        <v>160</v>
      </c>
      <c r="D49" s="170" t="s">
        <v>157</v>
      </c>
      <c r="E49" s="221" t="s">
        <v>0</v>
      </c>
      <c r="F49" s="179"/>
      <c r="G49" s="167"/>
      <c r="H49" s="168"/>
      <c r="I49" s="180"/>
    </row>
    <row r="50" spans="2:9" ht="15.75" thickBot="1" x14ac:dyDescent="0.3">
      <c r="B50" s="181">
        <v>50</v>
      </c>
      <c r="C50" s="182" t="s">
        <v>142</v>
      </c>
      <c r="D50" s="19"/>
      <c r="E50" s="183" t="str">
        <f>IF(D50=Data!A289,Data!B289,IF(D50=Data!A290,Data!B290,IF(D50=Data!A291,Data!B291,IF(D50=Data!A292,Data!B292,IF(D50=Data!A293,Data!B293,"")))))</f>
        <v/>
      </c>
      <c r="F50" s="172"/>
      <c r="G50" s="184"/>
      <c r="H50" s="232" t="str">
        <f>IF(E50=1,"Max. chyba pro horní oblast průtoku: ±2 % pro teploty do 30 °C a ±3 % pro teploty nad 30 °C. Pro dolní oblast: ±5 % bez ohledu na teplotu.",IF(E50=8,"Platí pro rozsah průtoků 5–100% Q4",IF(E50=9,"Platí pro rozsah průtoků 10–100% Q4","")))</f>
        <v/>
      </c>
      <c r="I50" s="192"/>
    </row>
    <row r="51" spans="2:9" ht="16.5" thickBot="1" x14ac:dyDescent="0.3">
      <c r="B51" s="169" t="s">
        <v>157</v>
      </c>
      <c r="C51" s="164" t="s">
        <v>145</v>
      </c>
      <c r="D51" s="170" t="s">
        <v>157</v>
      </c>
      <c r="E51" s="221" t="s">
        <v>0</v>
      </c>
      <c r="F51" s="179"/>
      <c r="G51" s="167"/>
      <c r="H51" s="168"/>
      <c r="I51" s="180"/>
    </row>
    <row r="52" spans="2:9" ht="15.75" thickBot="1" x14ac:dyDescent="0.3">
      <c r="B52" s="181">
        <v>52</v>
      </c>
      <c r="C52" s="182" t="s">
        <v>249</v>
      </c>
      <c r="D52" s="67"/>
      <c r="E52" s="193" t="str">
        <f>IF(D52="","",IF(D52=0,"000",IF(D52&gt;0,D52,"")))</f>
        <v/>
      </c>
      <c r="F52" s="172"/>
      <c r="G52" s="184"/>
      <c r="H52" s="186"/>
      <c r="I52" s="192"/>
    </row>
    <row r="53" spans="2:9" ht="15.75" thickBot="1" x14ac:dyDescent="0.3">
      <c r="B53" s="181">
        <v>53</v>
      </c>
      <c r="C53" s="182" t="s">
        <v>146</v>
      </c>
      <c r="D53" s="19"/>
      <c r="E53" s="183" t="str">
        <f>IF(D53=Data!A297,Data!B297,IF(D53=Data!A298,Data!B298,IF(D53=Data!A299,Data!B299,"")))</f>
        <v/>
      </c>
      <c r="F53" s="172"/>
      <c r="G53" s="184"/>
      <c r="H53" s="186"/>
      <c r="I53" s="192"/>
    </row>
    <row r="54" spans="2:9" ht="15.75" thickBot="1" x14ac:dyDescent="0.3">
      <c r="B54" s="181">
        <v>54</v>
      </c>
      <c r="C54" s="182" t="s">
        <v>147</v>
      </c>
      <c r="D54" s="19"/>
      <c r="E54" s="183" t="str">
        <f>IF(D54=Data!A301,Data!B301,IF(D54=Data!A302,Data!B302,IF(D54=Data!A303,Data!B303,IF(D54=Data!A304,Data!B304,""))))</f>
        <v/>
      </c>
      <c r="F54" s="172"/>
      <c r="G54" s="184"/>
      <c r="H54" s="186"/>
      <c r="I54" s="192"/>
    </row>
    <row r="55" spans="2:9" ht="15.75" thickBot="1" x14ac:dyDescent="0.3">
      <c r="B55" s="181">
        <v>55</v>
      </c>
      <c r="C55" s="182" t="s">
        <v>148</v>
      </c>
      <c r="D55" s="19"/>
      <c r="E55" s="183" t="str">
        <f>IF(D55=Data!A306,Data!B306,IF(D55=Data!A307,Data!B307,IF(D55=Data!A308,Data!B308,IF(D55=Data!A309,Data!B309,IF(D55=Data!A310,Data!B310,IF(D55=Data!A311,Data!B311,""))))))</f>
        <v/>
      </c>
      <c r="F55" s="172"/>
      <c r="G55" s="184"/>
      <c r="H55" s="186"/>
      <c r="I55" s="192"/>
    </row>
    <row r="56" spans="2:9" ht="16.5" thickBot="1" x14ac:dyDescent="0.3">
      <c r="B56" s="169" t="s">
        <v>157</v>
      </c>
      <c r="C56" s="164" t="s">
        <v>161</v>
      </c>
      <c r="D56" s="170" t="s">
        <v>157</v>
      </c>
      <c r="E56" s="221" t="s">
        <v>0</v>
      </c>
      <c r="F56" s="194"/>
      <c r="G56" s="167"/>
      <c r="H56" s="168"/>
      <c r="I56" s="180"/>
    </row>
    <row r="57" spans="2:9" ht="15.75" thickBot="1" x14ac:dyDescent="0.3">
      <c r="B57" s="195">
        <v>57</v>
      </c>
      <c r="C57" s="196" t="s">
        <v>210</v>
      </c>
      <c r="D57" s="197" t="s">
        <v>309</v>
      </c>
      <c r="E57" s="198">
        <v>1</v>
      </c>
      <c r="F57" s="199"/>
      <c r="G57" s="200"/>
      <c r="H57" s="201"/>
      <c r="I57" s="202"/>
    </row>
    <row r="58" spans="2:9" ht="18" thickBot="1" x14ac:dyDescent="0.3">
      <c r="B58" s="203">
        <v>58</v>
      </c>
      <c r="C58" s="204" t="s">
        <v>282</v>
      </c>
      <c r="D58" s="92"/>
      <c r="E58" s="144"/>
      <c r="F58" s="199"/>
      <c r="G58" s="200"/>
      <c r="H58" s="201"/>
      <c r="I58" s="202"/>
    </row>
    <row r="59" spans="2:9" ht="9.75" customHeight="1" thickBot="1" x14ac:dyDescent="0.3">
      <c r="E59" s="42"/>
      <c r="H59" s="29"/>
    </row>
    <row r="60" spans="2:9" ht="20.25" customHeight="1" x14ac:dyDescent="0.2">
      <c r="B60" s="205"/>
      <c r="C60" s="206" t="s">
        <v>41</v>
      </c>
      <c r="D60" s="207"/>
      <c r="E60" s="208"/>
      <c r="F60" s="208"/>
      <c r="G60" s="209" t="s">
        <v>170</v>
      </c>
      <c r="H60" s="210"/>
      <c r="I60" s="211"/>
    </row>
    <row r="61" spans="2:9" ht="19.5" customHeight="1" x14ac:dyDescent="0.25">
      <c r="B61" s="212"/>
      <c r="C61" s="94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Úplné objednací číslo se vygeneruje až po zadání všech parametrů.")</f>
        <v>Úplné objednací číslo se vygeneruje až po zadání všech parametrů.</v>
      </c>
      <c r="D61" s="95"/>
      <c r="E61" s="213"/>
      <c r="F61" s="213"/>
      <c r="G61" s="214" t="s">
        <v>214</v>
      </c>
      <c r="H61" s="215"/>
      <c r="I61" s="176"/>
    </row>
    <row r="62" spans="2:9" ht="19.5" customHeight="1" thickBot="1" x14ac:dyDescent="0.3">
      <c r="B62" s="216"/>
      <c r="C62" s="154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62" s="87" t="str">
        <f>IF(NezadanHW=0,"← Část Objednacího čísla definující konstrukci výrobku.","")</f>
        <v/>
      </c>
      <c r="E62" s="217"/>
      <c r="F62" s="218"/>
      <c r="G62" s="219"/>
      <c r="H62" s="219"/>
      <c r="I62" s="220"/>
    </row>
    <row r="63" spans="2:9" ht="9.75" customHeight="1" thickBot="1" x14ac:dyDescent="0.3">
      <c r="E63" s="42"/>
      <c r="H63" s="29"/>
      <c r="I63" s="70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Vygeneruje se až po zadání všech parametrů.")</f>
        <v>FN20.1------1</v>
      </c>
    </row>
    <row r="64" spans="2:9" ht="23.25" customHeight="1" x14ac:dyDescent="0.25">
      <c r="B64" s="27"/>
      <c r="C64" s="28" t="s">
        <v>304</v>
      </c>
      <c r="D64" s="160"/>
      <c r="E64" s="77"/>
      <c r="F64" s="159"/>
      <c r="G64" s="80" t="s">
        <v>213</v>
      </c>
      <c r="H64" s="81"/>
      <c r="I64" s="84"/>
    </row>
    <row r="65" spans="2:9" ht="145.5" customHeight="1" x14ac:dyDescent="0.25">
      <c r="B65" s="22"/>
      <c r="C65" s="260"/>
      <c r="D65" s="260"/>
      <c r="E65" s="78"/>
      <c r="F65" s="23"/>
      <c r="G65" s="261" t="str">
        <f>SoupisNP</f>
        <v/>
      </c>
      <c r="H65" s="262"/>
      <c r="I65" s="85"/>
    </row>
    <row r="66" spans="2:9" ht="8.25" customHeight="1" thickBot="1" x14ac:dyDescent="0.3">
      <c r="B66" s="22"/>
      <c r="C66" s="23"/>
      <c r="D66" s="23"/>
      <c r="E66" s="78"/>
      <c r="F66" s="23"/>
      <c r="G66" s="23"/>
      <c r="H66" s="82"/>
      <c r="I66" s="85"/>
    </row>
    <row r="67" spans="2:9" ht="17.45" customHeight="1" thickBot="1" x14ac:dyDescent="0.3">
      <c r="B67" s="24"/>
      <c r="C67" s="21" t="s">
        <v>164</v>
      </c>
      <c r="D67" s="44"/>
      <c r="E67" s="78"/>
      <c r="F67" s="23"/>
      <c r="G67" s="23"/>
      <c r="H67" s="82"/>
      <c r="I67" s="85"/>
    </row>
    <row r="68" spans="2:9" ht="17.45" customHeight="1" thickBot="1" x14ac:dyDescent="0.3">
      <c r="B68" s="24"/>
      <c r="C68" s="21" t="s">
        <v>246</v>
      </c>
      <c r="D68" s="68"/>
      <c r="E68" s="78"/>
      <c r="F68" s="23"/>
      <c r="G68" s="23"/>
      <c r="H68" s="82"/>
      <c r="I68" s="85"/>
    </row>
    <row r="69" spans="2:9" ht="17.45" customHeight="1" thickBot="1" x14ac:dyDescent="0.3">
      <c r="B69" s="24"/>
      <c r="C69" s="21" t="s">
        <v>292</v>
      </c>
      <c r="D69" s="68"/>
      <c r="E69" s="78"/>
      <c r="F69" s="23"/>
      <c r="G69" s="23"/>
      <c r="H69" s="82"/>
      <c r="I69" s="85"/>
    </row>
    <row r="70" spans="2:9" ht="17.45" customHeight="1" thickBot="1" x14ac:dyDescent="0.3">
      <c r="B70" s="24"/>
      <c r="C70" s="21" t="s">
        <v>247</v>
      </c>
      <c r="D70" s="68"/>
      <c r="E70" s="78"/>
      <c r="F70" s="23"/>
      <c r="G70" s="23"/>
      <c r="H70" s="82"/>
      <c r="I70" s="85"/>
    </row>
    <row r="71" spans="2:9" ht="17.45" customHeight="1" thickBot="1" x14ac:dyDescent="0.3">
      <c r="B71" s="24"/>
      <c r="C71" s="21" t="s">
        <v>248</v>
      </c>
      <c r="D71" s="68"/>
      <c r="E71" s="78"/>
      <c r="F71" s="23"/>
      <c r="G71" s="23"/>
      <c r="H71" s="82"/>
      <c r="I71" s="85"/>
    </row>
    <row r="72" spans="2:9" ht="17.45" customHeight="1" thickBot="1" x14ac:dyDescent="0.3">
      <c r="B72" s="24"/>
      <c r="C72" s="21" t="s">
        <v>290</v>
      </c>
      <c r="D72" s="69"/>
      <c r="E72" s="78"/>
      <c r="F72" s="23"/>
      <c r="G72" s="23"/>
      <c r="H72" s="82"/>
      <c r="I72" s="85"/>
    </row>
    <row r="73" spans="2:9" ht="8.25" customHeight="1" thickBot="1" x14ac:dyDescent="0.3">
      <c r="B73" s="25"/>
      <c r="C73" s="26"/>
      <c r="D73" s="26"/>
      <c r="E73" s="79"/>
      <c r="F73" s="26"/>
      <c r="G73" s="26"/>
      <c r="H73" s="83"/>
      <c r="I73" s="86"/>
    </row>
    <row r="74" spans="2:9" ht="19.5" customHeight="1" x14ac:dyDescent="0.25">
      <c r="B74" s="259" t="s">
        <v>388</v>
      </c>
    </row>
  </sheetData>
  <sheetProtection algorithmName="SHA-512" hashValue="sCrwFz0SL99OU+/lQynLVOYmcphGvg05zh2tY/d8X11PRt7mamt9MSrMFFl3SsxHpuzGBC6FCNKTNd3J8OsfrA==" saltValue="meuUOo/ojE0JlpPJdEALzg==" spinCount="100000" sheet="1" objects="1" scenarios="1" formatColumns="0" formatRows="0"/>
  <mergeCells count="2">
    <mergeCell ref="C65:D65"/>
    <mergeCell ref="G65:H65"/>
  </mergeCells>
  <conditionalFormatting sqref="C22">
    <cfRule type="expression" dxfId="23" priority="28">
      <formula>$E$21="0"</formula>
    </cfRule>
  </conditionalFormatting>
  <conditionalFormatting sqref="C25">
    <cfRule type="expression" dxfId="22" priority="30">
      <formula>$E$6=4</formula>
    </cfRule>
    <cfRule type="expression" dxfId="21" priority="31">
      <formula>$E$6=0</formula>
    </cfRule>
  </conditionalFormatting>
  <conditionalFormatting sqref="C29:C30">
    <cfRule type="expression" dxfId="20" priority="17">
      <formula>$E$6=0</formula>
    </cfRule>
    <cfRule type="expression" dxfId="19" priority="18">
      <formula>$E$6=1</formula>
    </cfRule>
  </conditionalFormatting>
  <conditionalFormatting sqref="C30">
    <cfRule type="expression" dxfId="18" priority="2">
      <formula>$E$29=0</formula>
    </cfRule>
  </conditionalFormatting>
  <conditionalFormatting sqref="C32">
    <cfRule type="expression" dxfId="17" priority="13">
      <formula>$E$6=0</formula>
    </cfRule>
    <cfRule type="expression" dxfId="16" priority="14">
      <formula>$E$6=1</formula>
    </cfRule>
  </conditionalFormatting>
  <conditionalFormatting sqref="C34">
    <cfRule type="expression" dxfId="15" priority="26">
      <formula>$E$33="0"</formula>
    </cfRule>
  </conditionalFormatting>
  <conditionalFormatting sqref="C35:C36">
    <cfRule type="expression" dxfId="14" priority="5">
      <formula>$E$6=0</formula>
    </cfRule>
    <cfRule type="expression" dxfId="13" priority="6">
      <formula>$E$6=1</formula>
    </cfRule>
  </conditionalFormatting>
  <conditionalFormatting sqref="C45:C48">
    <cfRule type="expression" dxfId="12" priority="35">
      <formula>$E$44="0"</formula>
    </cfRule>
  </conditionalFormatting>
  <conditionalFormatting sqref="D22">
    <cfRule type="expression" dxfId="11" priority="29">
      <formula>$E$21="0"</formula>
    </cfRule>
  </conditionalFormatting>
  <conditionalFormatting sqref="D25">
    <cfRule type="expression" dxfId="10" priority="32" stopIfTrue="1">
      <formula>$E$6=0</formula>
    </cfRule>
    <cfRule type="expression" dxfId="9" priority="33">
      <formula>$E$6=4</formula>
    </cfRule>
  </conditionalFormatting>
  <conditionalFormatting sqref="D29:D30">
    <cfRule type="expression" dxfId="8" priority="15">
      <formula>$E$6=1</formula>
    </cfRule>
    <cfRule type="expression" dxfId="7" priority="16">
      <formula>$E$6=0</formula>
    </cfRule>
  </conditionalFormatting>
  <conditionalFormatting sqref="D30">
    <cfRule type="expression" dxfId="6" priority="1">
      <formula>$E$29=0</formula>
    </cfRule>
  </conditionalFormatting>
  <conditionalFormatting sqref="D32">
    <cfRule type="expression" dxfId="5" priority="11">
      <formula>$E$6=1</formula>
    </cfRule>
    <cfRule type="expression" dxfId="4" priority="12">
      <formula>$E$6=0</formula>
    </cfRule>
  </conditionalFormatting>
  <conditionalFormatting sqref="D34">
    <cfRule type="expression" dxfId="3" priority="27">
      <formula>$E$33="0"</formula>
    </cfRule>
  </conditionalFormatting>
  <conditionalFormatting sqref="D35:D36">
    <cfRule type="expression" dxfId="2" priority="3">
      <formula>$E$6=1</formula>
    </cfRule>
    <cfRule type="expression" dxfId="1" priority="4">
      <formula>$E$6=0</formula>
    </cfRule>
  </conditionalFormatting>
  <conditionalFormatting sqref="D45:D48">
    <cfRule type="expression" dxfId="0" priority="37">
      <formula>$E$44="0"</formula>
    </cfRule>
  </conditionalFormatting>
  <dataValidations count="44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3" xr:uid="{00000000-0002-0000-0000-000006000000}">
      <formula1>OC_VC</formula1>
    </dataValidation>
    <dataValidation type="list" allowBlank="1" showInputMessage="1" showErrorMessage="1" sqref="D38" xr:uid="{00000000-0002-0000-0000-000007000000}">
      <formula1>OC_FVOUT1</formula1>
    </dataValidation>
    <dataValidation type="list" allowBlank="1" showErrorMessage="1" promptTitle="Upozornění" prompt="IP 68 nelze provést u kompaktního provedení!" sqref="D14" xr:uid="{00000000-0002-0000-0000-000008000000}">
      <formula1>OC_KC</formula1>
    </dataValidation>
    <dataValidation type="list" allowBlank="1" showInputMessage="1" showErrorMessage="1" sqref="D12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20" xr:uid="{00000000-0002-0000-0000-00000E000000}">
      <formula1>OC_INP</formula1>
    </dataValidation>
    <dataValidation type="list" allowBlank="1" showInputMessage="1" showErrorMessage="1" sqref="D21 D25" xr:uid="{00000000-0002-0000-0000-00000F000000}">
      <formula1>OC_DTdPED</formula1>
    </dataValidation>
    <dataValidation type="list" allowBlank="1" showInputMessage="1" showErrorMessage="1" sqref="D27" xr:uid="{00000000-0002-0000-0000-000010000000}">
      <formula1>OC_DM</formula1>
    </dataValidation>
    <dataValidation type="list" allowBlank="1" showInputMessage="1" showErrorMessage="1" sqref="D28" xr:uid="{00000000-0002-0000-0000-000011000000}">
      <formula1>OC_NM</formula1>
    </dataValidation>
    <dataValidation type="list" allowBlank="1" showInputMessage="1" showErrorMessage="1" sqref="D29" xr:uid="{00000000-0002-0000-0000-000012000000}">
      <formula1>OC_D</formula1>
    </dataValidation>
    <dataValidation type="list" allowBlank="1" showInputMessage="1" showErrorMessage="1" sqref="D31" xr:uid="{00000000-0002-0000-0000-000013000000}">
      <formula1>OC_PVpP</formula1>
    </dataValidation>
    <dataValidation type="list" allowBlank="1" showInputMessage="1" showErrorMessage="1" sqref="D34" xr:uid="{00000000-0002-0000-0000-000014000000}">
      <formula1>OC_JIC</formula1>
    </dataValidation>
    <dataValidation type="list" allowBlank="1" showInputMessage="1" showErrorMessage="1" sqref="D33" xr:uid="{00000000-0002-0000-0000-000015000000}">
      <formula1>OC_IC</formula1>
    </dataValidation>
    <dataValidation type="list" allowBlank="1" showInputMessage="1" showErrorMessage="1" sqref="D35" xr:uid="{00000000-0002-0000-0000-000016000000}">
      <formula1>OC_VPvNM</formula1>
    </dataValidation>
    <dataValidation type="list" allowBlank="1" showInputMessage="1" showErrorMessage="1" sqref="D36" xr:uid="{00000000-0002-0000-0000-000017000000}">
      <formula1>OC_ACH</formula1>
    </dataValidation>
    <dataValidation type="list" allowBlank="1" showInputMessage="1" showErrorMessage="1" sqref="D37" xr:uid="{00000000-0002-0000-0000-000018000000}">
      <formula1>OC_PV_PpIQ</formula1>
    </dataValidation>
    <dataValidation type="list" allowBlank="1" showInputMessage="1" showErrorMessage="1" sqref="D39" xr:uid="{00000000-0002-0000-0000-000019000000}">
      <formula1>OC_FVOUT2</formula1>
    </dataValidation>
    <dataValidation type="list" allowBlank="1" showInputMessage="1" showErrorMessage="1" sqref="D40" xr:uid="{00000000-0002-0000-0000-00001A000000}">
      <formula1>OC_FR</formula1>
    </dataValidation>
    <dataValidation type="list" allowBlank="1" showInputMessage="1" showErrorMessage="1" sqref="D41" xr:uid="{00000000-0002-0000-0000-00001B000000}">
      <formula1>OC_CE</formula1>
    </dataValidation>
    <dataValidation type="list" allowBlank="1" showInputMessage="1" showErrorMessage="1" sqref="D42" xr:uid="{00000000-0002-0000-0000-00001C000000}">
      <formula1>OC_ZJ</formula1>
    </dataValidation>
    <dataValidation type="list" allowBlank="1" showInputMessage="1" showErrorMessage="1" sqref="D44" xr:uid="{00000000-0002-0000-0000-00001D000000}">
      <formula1>OC_R</formula1>
    </dataValidation>
    <dataValidation type="list" allowBlank="1" showInputMessage="1" showErrorMessage="1" sqref="D47" xr:uid="{00000000-0002-0000-0000-00001E000000}">
      <formula1>OC_RP</formula1>
    </dataValidation>
    <dataValidation type="list" allowBlank="1" showInputMessage="1" showErrorMessage="1" sqref="D48" xr:uid="{00000000-0002-0000-0000-00001F000000}">
      <formula1>OC_P</formula1>
    </dataValidation>
    <dataValidation type="whole" allowBlank="1" showInputMessage="1" showErrorMessage="1" errorTitle="CHYBA" error="Číslo musí být v rozsahu 1 až 255." sqref="D45:D46" xr:uid="{00000000-0002-0000-0000-000020000000}">
      <formula1>1</formula1>
      <formula2>255</formula2>
    </dataValidation>
    <dataValidation type="list" allowBlank="1" showInputMessage="1" showErrorMessage="1" sqref="D50" xr:uid="{00000000-0002-0000-0000-000021000000}">
      <formula1>OC_K</formula1>
    </dataValidation>
    <dataValidation type="list" allowBlank="1" showInputMessage="1" showErrorMessage="1" sqref="D54" xr:uid="{00000000-0002-0000-0000-000022000000}">
      <formula1>OC_ZP</formula1>
    </dataValidation>
    <dataValidation type="list" allowBlank="1" showInputMessage="1" showErrorMessage="1" sqref="D55" xr:uid="{00000000-0002-0000-0000-000023000000}">
      <formula1>OC_Z</formula1>
    </dataValidation>
    <dataValidation type="list" allowBlank="1" showInputMessage="1" showErrorMessage="1" sqref="D22" xr:uid="{00000000-0002-0000-0000-000024000000}">
      <formula1>OC_KdPED</formula1>
    </dataValidation>
    <dataValidation type="list" allowBlank="1" showInputMessage="1" showErrorMessage="1" sqref="D17" xr:uid="{00000000-0002-0000-0000-000025000000}">
      <formula1>OC_MDT</formula1>
    </dataValidation>
    <dataValidation type="list" allowBlank="1" showInputMessage="1" showErrorMessage="1" sqref="D12 D24" xr:uid="{00000000-0002-0000-0000-000026000000}">
      <formula1>OC_ZK</formula1>
    </dataValidation>
    <dataValidation type="list" allowBlank="1" showInputMessage="1" showErrorMessage="1" sqref="D53" xr:uid="{00000000-0002-0000-0000-000027000000}">
      <formula1>OC_B</formula1>
    </dataValidation>
    <dataValidation type="list" allowBlank="1" showInputMessage="1" showErrorMessage="1" sqref="D32:D33" xr:uid="{00000000-0002-0000-0000-000028000000}">
      <formula1>OC_JZP</formula1>
    </dataValidation>
    <dataValidation type="whole" allowBlank="1" showInputMessage="1" showErrorMessage="1" sqref="D52" xr:uid="{00000000-0002-0000-0000-000029000000}">
      <formula1>0</formula1>
      <formula2>999</formula2>
    </dataValidation>
    <dataValidation type="list" allowBlank="1" showInputMessage="1" showErrorMessage="1" errorTitle="CHYBA" error="Hodnota musí být v rozsahu 1 až 999. Případně zadejte hodnotu v jiné jednotce." sqref="D30" xr:uid="{00000000-0002-0000-0000-00002A000000}">
      <formula1>OC_VD</formula1>
    </dataValidation>
    <dataValidation type="list" allowBlank="1" showInputMessage="1" showErrorMessage="1" sqref="D19" xr:uid="{00000000-0002-0000-0000-00002B000000}">
      <formula1>OC_KSE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1"/>
  <sheetViews>
    <sheetView topLeftCell="A52" zoomScaleNormal="100" workbookViewId="0">
      <selection activeCell="C70" sqref="C70"/>
    </sheetView>
  </sheetViews>
  <sheetFormatPr defaultRowHeight="15" x14ac:dyDescent="0.25"/>
  <cols>
    <col min="1" max="1" width="52" customWidth="1"/>
    <col min="3" max="3" width="25.7109375" customWidth="1"/>
  </cols>
  <sheetData>
    <row r="1" spans="1:3" x14ac:dyDescent="0.25">
      <c r="A1" s="5" t="s">
        <v>1</v>
      </c>
      <c r="B1" s="93" t="s">
        <v>256</v>
      </c>
      <c r="C1" s="158" t="s">
        <v>384</v>
      </c>
    </row>
    <row r="2" spans="1:3" x14ac:dyDescent="0.25">
      <c r="A2" s="6" t="s">
        <v>37</v>
      </c>
      <c r="B2" s="4">
        <v>1</v>
      </c>
      <c r="C2" s="155"/>
    </row>
    <row r="3" spans="1:3" x14ac:dyDescent="0.25">
      <c r="A3" s="6" t="s">
        <v>38</v>
      </c>
      <c r="B3" s="4">
        <v>2</v>
      </c>
      <c r="C3" s="155"/>
    </row>
    <row r="4" spans="1:3" x14ac:dyDescent="0.25">
      <c r="A4" s="6" t="s">
        <v>39</v>
      </c>
      <c r="B4" s="4" t="s">
        <v>297</v>
      </c>
      <c r="C4" s="155"/>
    </row>
    <row r="5" spans="1:3" x14ac:dyDescent="0.25">
      <c r="A5" s="5" t="s">
        <v>46</v>
      </c>
      <c r="B5" s="15"/>
      <c r="C5" s="155"/>
    </row>
    <row r="6" spans="1:3" x14ac:dyDescent="0.25">
      <c r="A6" s="6" t="s">
        <v>7</v>
      </c>
      <c r="B6" s="4">
        <v>0</v>
      </c>
      <c r="C6" s="155"/>
    </row>
    <row r="7" spans="1:3" x14ac:dyDescent="0.25">
      <c r="A7" s="6" t="s">
        <v>8</v>
      </c>
      <c r="B7" s="4">
        <v>1</v>
      </c>
      <c r="C7" s="155"/>
    </row>
    <row r="8" spans="1:3" x14ac:dyDescent="0.25">
      <c r="A8" s="6" t="s">
        <v>9</v>
      </c>
      <c r="B8" s="4">
        <v>4</v>
      </c>
      <c r="C8" s="155"/>
    </row>
    <row r="9" spans="1:3" x14ac:dyDescent="0.25">
      <c r="A9" s="6" t="s">
        <v>10</v>
      </c>
      <c r="B9" s="4">
        <v>5</v>
      </c>
      <c r="C9" s="155"/>
    </row>
    <row r="10" spans="1:3" x14ac:dyDescent="0.25">
      <c r="A10" s="5" t="s">
        <v>333</v>
      </c>
      <c r="B10" s="15"/>
      <c r="C10" s="155"/>
    </row>
    <row r="11" spans="1:3" x14ac:dyDescent="0.25">
      <c r="A11" s="6" t="s">
        <v>357</v>
      </c>
      <c r="B11" s="4" t="s">
        <v>11</v>
      </c>
      <c r="C11" s="155"/>
    </row>
    <row r="12" spans="1:3" x14ac:dyDescent="0.25">
      <c r="A12" s="6" t="s">
        <v>360</v>
      </c>
      <c r="B12" s="4" t="s">
        <v>12</v>
      </c>
      <c r="C12" s="155"/>
    </row>
    <row r="13" spans="1:3" x14ac:dyDescent="0.25">
      <c r="A13" s="6" t="s">
        <v>359</v>
      </c>
      <c r="B13" s="4" t="s">
        <v>13</v>
      </c>
      <c r="C13" s="155"/>
    </row>
    <row r="14" spans="1:3" x14ac:dyDescent="0.25">
      <c r="A14" s="6" t="s">
        <v>361</v>
      </c>
      <c r="B14" s="4" t="s">
        <v>14</v>
      </c>
      <c r="C14" s="155"/>
    </row>
    <row r="15" spans="1:3" x14ac:dyDescent="0.25">
      <c r="A15" s="6" t="s">
        <v>358</v>
      </c>
      <c r="B15" s="4" t="s">
        <v>15</v>
      </c>
      <c r="C15" s="155"/>
    </row>
    <row r="16" spans="1:3" x14ac:dyDescent="0.25">
      <c r="A16" s="6" t="s">
        <v>362</v>
      </c>
      <c r="B16" s="4" t="s">
        <v>16</v>
      </c>
      <c r="C16" s="155"/>
    </row>
    <row r="17" spans="1:3" x14ac:dyDescent="0.25">
      <c r="A17" s="6" t="s">
        <v>363</v>
      </c>
      <c r="B17" s="4" t="s">
        <v>17</v>
      </c>
      <c r="C17" s="155"/>
    </row>
    <row r="18" spans="1:3" x14ac:dyDescent="0.25">
      <c r="A18" s="6" t="s">
        <v>364</v>
      </c>
      <c r="B18" s="4" t="s">
        <v>18</v>
      </c>
      <c r="C18" s="155"/>
    </row>
    <row r="19" spans="1:3" x14ac:dyDescent="0.25">
      <c r="A19" s="6" t="s">
        <v>365</v>
      </c>
      <c r="B19" s="4" t="s">
        <v>19</v>
      </c>
      <c r="C19" s="155"/>
    </row>
    <row r="20" spans="1:3" x14ac:dyDescent="0.25">
      <c r="A20" s="6" t="s">
        <v>366</v>
      </c>
      <c r="B20" s="4" t="s">
        <v>20</v>
      </c>
      <c r="C20" s="155"/>
    </row>
    <row r="21" spans="1:3" x14ac:dyDescent="0.25">
      <c r="A21" s="6" t="s">
        <v>367</v>
      </c>
      <c r="B21" s="4" t="s">
        <v>21</v>
      </c>
      <c r="C21" s="155"/>
    </row>
    <row r="22" spans="1:3" x14ac:dyDescent="0.25">
      <c r="A22" s="6" t="s">
        <v>368</v>
      </c>
      <c r="B22" s="4" t="s">
        <v>22</v>
      </c>
      <c r="C22" s="155"/>
    </row>
    <row r="23" spans="1:3" x14ac:dyDescent="0.25">
      <c r="A23" s="6" t="s">
        <v>369</v>
      </c>
      <c r="B23" s="4" t="s">
        <v>23</v>
      </c>
      <c r="C23" s="155"/>
    </row>
    <row r="24" spans="1:3" x14ac:dyDescent="0.25">
      <c r="A24" s="6" t="s">
        <v>370</v>
      </c>
      <c r="B24" s="4" t="s">
        <v>24</v>
      </c>
      <c r="C24" s="155"/>
    </row>
    <row r="25" spans="1:3" x14ac:dyDescent="0.25">
      <c r="A25" s="6" t="s">
        <v>371</v>
      </c>
      <c r="B25" s="4" t="s">
        <v>25</v>
      </c>
      <c r="C25" s="155"/>
    </row>
    <row r="26" spans="1:3" x14ac:dyDescent="0.25">
      <c r="A26" s="6" t="s">
        <v>372</v>
      </c>
      <c r="B26" s="4" t="s">
        <v>26</v>
      </c>
      <c r="C26" s="155"/>
    </row>
    <row r="27" spans="1:3" x14ac:dyDescent="0.25">
      <c r="A27" s="6" t="s">
        <v>373</v>
      </c>
      <c r="B27" s="4" t="s">
        <v>27</v>
      </c>
      <c r="C27" s="155"/>
    </row>
    <row r="28" spans="1:3" x14ac:dyDescent="0.25">
      <c r="A28" s="6" t="s">
        <v>374</v>
      </c>
      <c r="B28" s="4" t="s">
        <v>28</v>
      </c>
      <c r="C28" s="155"/>
    </row>
    <row r="29" spans="1:3" x14ac:dyDescent="0.25">
      <c r="A29" s="6" t="s">
        <v>375</v>
      </c>
      <c r="B29" s="4" t="s">
        <v>29</v>
      </c>
      <c r="C29" s="155"/>
    </row>
    <row r="30" spans="1:3" x14ac:dyDescent="0.25">
      <c r="A30" s="6" t="s">
        <v>376</v>
      </c>
      <c r="B30" s="4" t="s">
        <v>30</v>
      </c>
      <c r="C30" s="155"/>
    </row>
    <row r="31" spans="1:3" x14ac:dyDescent="0.25">
      <c r="A31" s="6" t="s">
        <v>377</v>
      </c>
      <c r="B31" s="4" t="s">
        <v>31</v>
      </c>
      <c r="C31" s="155"/>
    </row>
    <row r="32" spans="1:3" x14ac:dyDescent="0.25">
      <c r="A32" s="157" t="s">
        <v>378</v>
      </c>
      <c r="B32" s="4" t="s">
        <v>32</v>
      </c>
      <c r="C32" s="155"/>
    </row>
    <row r="33" spans="1:3" x14ac:dyDescent="0.25">
      <c r="A33" s="6" t="s">
        <v>379</v>
      </c>
      <c r="B33" s="4" t="s">
        <v>33</v>
      </c>
      <c r="C33" s="155"/>
    </row>
    <row r="34" spans="1:3" x14ac:dyDescent="0.25">
      <c r="A34" s="6" t="s">
        <v>380</v>
      </c>
      <c r="B34" s="4" t="s">
        <v>34</v>
      </c>
      <c r="C34" s="155"/>
    </row>
    <row r="35" spans="1:3" x14ac:dyDescent="0.25">
      <c r="A35" s="6" t="s">
        <v>381</v>
      </c>
      <c r="B35" s="4" t="s">
        <v>35</v>
      </c>
      <c r="C35" s="155"/>
    </row>
    <row r="36" spans="1:3" x14ac:dyDescent="0.25">
      <c r="A36" s="6" t="s">
        <v>382</v>
      </c>
      <c r="B36" s="4" t="s">
        <v>36</v>
      </c>
      <c r="C36" s="155"/>
    </row>
    <row r="37" spans="1:3" x14ac:dyDescent="0.25">
      <c r="A37" s="6" t="s">
        <v>39</v>
      </c>
      <c r="B37" s="4" t="s">
        <v>298</v>
      </c>
      <c r="C37" s="155"/>
    </row>
    <row r="38" spans="1:3" x14ac:dyDescent="0.25">
      <c r="A38" s="5" t="s">
        <v>45</v>
      </c>
      <c r="B38" s="1"/>
      <c r="C38" s="155"/>
    </row>
    <row r="39" spans="1:3" x14ac:dyDescent="0.25">
      <c r="A39" s="6" t="s">
        <v>3</v>
      </c>
      <c r="B39" s="4">
        <v>1</v>
      </c>
      <c r="C39" s="155"/>
    </row>
    <row r="40" spans="1:3" x14ac:dyDescent="0.25">
      <c r="A40" s="6" t="s">
        <v>386</v>
      </c>
      <c r="B40" s="4">
        <v>2</v>
      </c>
      <c r="C40" s="155"/>
    </row>
    <row r="41" spans="1:3" x14ac:dyDescent="0.25">
      <c r="A41" s="156" t="s">
        <v>5</v>
      </c>
      <c r="B41" s="4">
        <v>3</v>
      </c>
      <c r="C41" s="155"/>
    </row>
    <row r="42" spans="1:3" x14ac:dyDescent="0.25">
      <c r="A42" s="156" t="s">
        <v>385</v>
      </c>
      <c r="B42" s="4">
        <v>4</v>
      </c>
      <c r="C42" s="155"/>
    </row>
    <row r="43" spans="1:3" x14ac:dyDescent="0.25">
      <c r="A43" s="6" t="s">
        <v>383</v>
      </c>
      <c r="B43" s="4">
        <v>5</v>
      </c>
      <c r="C43" s="155"/>
    </row>
    <row r="44" spans="1:3" x14ac:dyDescent="0.25">
      <c r="A44" s="6" t="s">
        <v>4</v>
      </c>
      <c r="B44" s="4">
        <v>6</v>
      </c>
      <c r="C44" s="155"/>
    </row>
    <row r="45" spans="1:3" x14ac:dyDescent="0.25">
      <c r="A45" s="6" t="s">
        <v>39</v>
      </c>
      <c r="B45" s="4" t="s">
        <v>297</v>
      </c>
      <c r="C45" s="155"/>
    </row>
    <row r="46" spans="1:3" x14ac:dyDescent="0.25">
      <c r="A46" s="5" t="s">
        <v>47</v>
      </c>
      <c r="B46" s="1"/>
      <c r="C46" s="155"/>
    </row>
    <row r="47" spans="1:3" ht="30" x14ac:dyDescent="0.25">
      <c r="A47" s="7" t="s">
        <v>342</v>
      </c>
      <c r="B47" s="4">
        <v>1</v>
      </c>
      <c r="C47" s="155"/>
    </row>
    <row r="48" spans="1:3" ht="45" x14ac:dyDescent="0.25">
      <c r="A48" s="7" t="s">
        <v>175</v>
      </c>
      <c r="B48" s="4" t="s">
        <v>68</v>
      </c>
      <c r="C48" s="155"/>
    </row>
    <row r="49" spans="1:3" x14ac:dyDescent="0.25">
      <c r="A49" s="6" t="s">
        <v>48</v>
      </c>
      <c r="B49" s="4" t="s">
        <v>73</v>
      </c>
      <c r="C49" s="155"/>
    </row>
    <row r="50" spans="1:3" x14ac:dyDescent="0.25">
      <c r="A50" s="6" t="s">
        <v>39</v>
      </c>
      <c r="B50" s="4" t="s">
        <v>297</v>
      </c>
      <c r="C50" s="155"/>
    </row>
    <row r="51" spans="1:3" x14ac:dyDescent="0.25">
      <c r="A51" s="5" t="s">
        <v>174</v>
      </c>
      <c r="B51" s="1"/>
      <c r="C51" s="155"/>
    </row>
    <row r="52" spans="1:3" x14ac:dyDescent="0.25">
      <c r="A52" s="6" t="s">
        <v>49</v>
      </c>
      <c r="B52" s="4" t="s">
        <v>67</v>
      </c>
      <c r="C52" s="155"/>
    </row>
    <row r="53" spans="1:3" x14ac:dyDescent="0.25">
      <c r="A53" s="6" t="s">
        <v>50</v>
      </c>
      <c r="B53" s="4" t="s">
        <v>68</v>
      </c>
      <c r="C53" s="155"/>
    </row>
    <row r="54" spans="1:3" x14ac:dyDescent="0.25">
      <c r="A54" s="6" t="s">
        <v>305</v>
      </c>
      <c r="B54" s="4" t="s">
        <v>73</v>
      </c>
      <c r="C54" s="155"/>
    </row>
    <row r="55" spans="1:3" x14ac:dyDescent="0.25">
      <c r="A55" s="6" t="s">
        <v>51</v>
      </c>
      <c r="B55" s="4" t="s">
        <v>74</v>
      </c>
      <c r="C55" s="155"/>
    </row>
    <row r="56" spans="1:3" x14ac:dyDescent="0.25">
      <c r="A56" s="6" t="s">
        <v>52</v>
      </c>
      <c r="B56" s="4" t="s">
        <v>75</v>
      </c>
      <c r="C56" s="155"/>
    </row>
    <row r="57" spans="1:3" x14ac:dyDescent="0.25">
      <c r="A57" s="6" t="s">
        <v>39</v>
      </c>
      <c r="B57" s="4" t="s">
        <v>297</v>
      </c>
      <c r="C57" s="155"/>
    </row>
    <row r="58" spans="1:3" x14ac:dyDescent="0.25">
      <c r="A58" s="5" t="s">
        <v>306</v>
      </c>
      <c r="B58" s="4"/>
      <c r="C58" s="155"/>
    </row>
    <row r="59" spans="1:3" x14ac:dyDescent="0.25">
      <c r="A59" s="6" t="s">
        <v>61</v>
      </c>
      <c r="B59" s="4" t="s">
        <v>55</v>
      </c>
      <c r="C59" s="155"/>
    </row>
    <row r="60" spans="1:3" x14ac:dyDescent="0.25">
      <c r="A60" s="6" t="s">
        <v>62</v>
      </c>
      <c r="B60" s="4" t="s">
        <v>67</v>
      </c>
      <c r="C60" s="155"/>
    </row>
    <row r="61" spans="1:3" x14ac:dyDescent="0.25">
      <c r="A61" s="5" t="s">
        <v>43</v>
      </c>
      <c r="B61" s="1"/>
      <c r="C61" s="155"/>
    </row>
    <row r="62" spans="1:3" x14ac:dyDescent="0.25">
      <c r="A62" s="6" t="s">
        <v>165</v>
      </c>
      <c r="B62" s="4">
        <v>1</v>
      </c>
      <c r="C62" s="155"/>
    </row>
    <row r="63" spans="1:3" x14ac:dyDescent="0.25">
      <c r="A63" s="6" t="s">
        <v>166</v>
      </c>
      <c r="B63" s="4">
        <v>2</v>
      </c>
      <c r="C63" s="155"/>
    </row>
    <row r="64" spans="1:3" x14ac:dyDescent="0.25">
      <c r="A64" s="6" t="s">
        <v>167</v>
      </c>
      <c r="B64" s="4">
        <v>3</v>
      </c>
      <c r="C64" s="155"/>
    </row>
    <row r="65" spans="1:3" x14ac:dyDescent="0.25">
      <c r="A65" s="6" t="s">
        <v>262</v>
      </c>
      <c r="B65" s="4">
        <v>4</v>
      </c>
      <c r="C65" s="155"/>
    </row>
    <row r="66" spans="1:3" x14ac:dyDescent="0.25">
      <c r="A66" s="6" t="s">
        <v>263</v>
      </c>
      <c r="B66" s="4">
        <v>5</v>
      </c>
      <c r="C66" s="155"/>
    </row>
    <row r="67" spans="1:3" x14ac:dyDescent="0.25">
      <c r="A67" s="6" t="s">
        <v>176</v>
      </c>
      <c r="B67" s="4">
        <v>6</v>
      </c>
      <c r="C67" s="155"/>
    </row>
    <row r="68" spans="1:3" x14ac:dyDescent="0.25">
      <c r="A68" s="6" t="s">
        <v>39</v>
      </c>
      <c r="B68" s="4" t="s">
        <v>297</v>
      </c>
      <c r="C68" s="155"/>
    </row>
    <row r="69" spans="1:3" x14ac:dyDescent="0.25">
      <c r="A69" s="5" t="s">
        <v>44</v>
      </c>
      <c r="B69" s="4"/>
      <c r="C69" s="155"/>
    </row>
    <row r="70" spans="1:3" x14ac:dyDescent="0.25">
      <c r="A70" s="6" t="s">
        <v>387</v>
      </c>
      <c r="B70" s="4">
        <v>1</v>
      </c>
      <c r="C70" s="155"/>
    </row>
    <row r="71" spans="1:3" x14ac:dyDescent="0.25">
      <c r="A71" s="6" t="s">
        <v>329</v>
      </c>
      <c r="B71" s="4" t="s">
        <v>68</v>
      </c>
      <c r="C71" s="155"/>
    </row>
    <row r="72" spans="1:3" x14ac:dyDescent="0.25">
      <c r="A72" s="6" t="s">
        <v>330</v>
      </c>
      <c r="B72" s="4" t="s">
        <v>73</v>
      </c>
      <c r="C72" s="155"/>
    </row>
    <row r="73" spans="1:3" x14ac:dyDescent="0.25">
      <c r="A73" s="5" t="s">
        <v>54</v>
      </c>
      <c r="B73" s="4"/>
      <c r="C73" s="155"/>
    </row>
    <row r="74" spans="1:3" x14ac:dyDescent="0.25">
      <c r="A74" s="6" t="s">
        <v>191</v>
      </c>
      <c r="B74" s="4">
        <v>1</v>
      </c>
      <c r="C74" s="155"/>
    </row>
    <row r="75" spans="1:3" x14ac:dyDescent="0.25">
      <c r="A75" s="6" t="s">
        <v>192</v>
      </c>
      <c r="B75" s="4">
        <v>2</v>
      </c>
      <c r="C75" s="155"/>
    </row>
    <row r="76" spans="1:3" x14ac:dyDescent="0.25">
      <c r="A76" s="6" t="s">
        <v>190</v>
      </c>
      <c r="B76" s="4">
        <v>3</v>
      </c>
      <c r="C76" s="155"/>
    </row>
    <row r="77" spans="1:3" x14ac:dyDescent="0.25">
      <c r="A77" s="6" t="s">
        <v>272</v>
      </c>
      <c r="B77" s="4">
        <v>4</v>
      </c>
      <c r="C77" s="155"/>
    </row>
    <row r="78" spans="1:3" x14ac:dyDescent="0.25">
      <c r="A78" s="6" t="s">
        <v>193</v>
      </c>
      <c r="B78" s="4">
        <v>5</v>
      </c>
      <c r="C78" s="155"/>
    </row>
    <row r="79" spans="1:3" x14ac:dyDescent="0.25">
      <c r="A79" s="6" t="s">
        <v>39</v>
      </c>
      <c r="B79" s="4" t="s">
        <v>297</v>
      </c>
      <c r="C79" s="155"/>
    </row>
    <row r="80" spans="1:3" ht="18" x14ac:dyDescent="0.25">
      <c r="A80" s="5" t="s">
        <v>334</v>
      </c>
      <c r="B80" s="1"/>
      <c r="C80" s="155"/>
    </row>
    <row r="81" spans="1:3" x14ac:dyDescent="0.25">
      <c r="A81" s="8" t="s">
        <v>183</v>
      </c>
      <c r="B81" s="4">
        <v>1</v>
      </c>
      <c r="C81" s="155"/>
    </row>
    <row r="82" spans="1:3" x14ac:dyDescent="0.25">
      <c r="A82" s="8" t="s">
        <v>266</v>
      </c>
      <c r="B82" s="4">
        <v>2</v>
      </c>
      <c r="C82" s="155"/>
    </row>
    <row r="83" spans="1:3" x14ac:dyDescent="0.25">
      <c r="A83" s="8" t="s">
        <v>184</v>
      </c>
      <c r="B83" s="4">
        <v>3</v>
      </c>
      <c r="C83" s="155"/>
    </row>
    <row r="84" spans="1:3" x14ac:dyDescent="0.25">
      <c r="A84" s="8" t="s">
        <v>186</v>
      </c>
      <c r="B84" s="4">
        <v>4</v>
      </c>
      <c r="C84" s="155"/>
    </row>
    <row r="85" spans="1:3" x14ac:dyDescent="0.25">
      <c r="A85" s="8" t="s">
        <v>264</v>
      </c>
      <c r="B85" s="4">
        <v>5</v>
      </c>
      <c r="C85" s="155"/>
    </row>
    <row r="86" spans="1:3" x14ac:dyDescent="0.25">
      <c r="A86" s="8" t="s">
        <v>265</v>
      </c>
      <c r="B86" s="4">
        <v>6</v>
      </c>
      <c r="C86" s="155"/>
    </row>
    <row r="87" spans="1:3" x14ac:dyDescent="0.25">
      <c r="A87" s="8" t="s">
        <v>185</v>
      </c>
      <c r="B87" s="4">
        <v>7</v>
      </c>
      <c r="C87" s="155"/>
    </row>
    <row r="88" spans="1:3" x14ac:dyDescent="0.25">
      <c r="A88" s="8" t="s">
        <v>187</v>
      </c>
      <c r="B88" s="4">
        <v>8</v>
      </c>
      <c r="C88" s="155"/>
    </row>
    <row r="89" spans="1:3" x14ac:dyDescent="0.25">
      <c r="A89" s="6" t="s">
        <v>39</v>
      </c>
      <c r="B89" s="4" t="s">
        <v>297</v>
      </c>
      <c r="C89" s="155"/>
    </row>
    <row r="90" spans="1:3" ht="18" x14ac:dyDescent="0.25">
      <c r="A90" s="5" t="s">
        <v>335</v>
      </c>
      <c r="B90" s="4"/>
      <c r="C90" s="155"/>
    </row>
    <row r="91" spans="1:3" x14ac:dyDescent="0.25">
      <c r="A91" s="6" t="s">
        <v>261</v>
      </c>
      <c r="B91" s="4" t="s">
        <v>67</v>
      </c>
      <c r="C91" s="155"/>
    </row>
    <row r="92" spans="1:3" x14ac:dyDescent="0.25">
      <c r="A92" s="6" t="s">
        <v>39</v>
      </c>
      <c r="B92" s="4" t="s">
        <v>297</v>
      </c>
      <c r="C92" s="155"/>
    </row>
    <row r="93" spans="1:3" x14ac:dyDescent="0.25">
      <c r="A93" s="5" t="s">
        <v>56</v>
      </c>
      <c r="B93" s="1"/>
      <c r="C93" s="155"/>
    </row>
    <row r="94" spans="1:3" x14ac:dyDescent="0.25">
      <c r="A94" s="8" t="s">
        <v>57</v>
      </c>
      <c r="B94" s="4">
        <v>1</v>
      </c>
      <c r="C94" s="155"/>
    </row>
    <row r="95" spans="1:3" x14ac:dyDescent="0.25">
      <c r="A95" s="8" t="s">
        <v>58</v>
      </c>
      <c r="B95" s="4">
        <v>2</v>
      </c>
      <c r="C95" s="155"/>
    </row>
    <row r="96" spans="1:3" x14ac:dyDescent="0.25">
      <c r="A96" s="8" t="s">
        <v>59</v>
      </c>
      <c r="B96" s="4">
        <v>3</v>
      </c>
      <c r="C96" s="155"/>
    </row>
    <row r="97" spans="1:3" x14ac:dyDescent="0.25">
      <c r="A97" s="8" t="s">
        <v>267</v>
      </c>
      <c r="B97" s="4">
        <v>4</v>
      </c>
      <c r="C97" s="155"/>
    </row>
    <row r="98" spans="1:3" x14ac:dyDescent="0.25">
      <c r="A98" s="8" t="s">
        <v>39</v>
      </c>
      <c r="B98" s="4" t="s">
        <v>297</v>
      </c>
      <c r="C98" s="155"/>
    </row>
    <row r="99" spans="1:3" x14ac:dyDescent="0.25">
      <c r="A99" s="5" t="s">
        <v>328</v>
      </c>
      <c r="B99" s="4"/>
      <c r="C99" s="155"/>
    </row>
    <row r="100" spans="1:3" x14ac:dyDescent="0.25">
      <c r="A100" s="6" t="s">
        <v>331</v>
      </c>
      <c r="B100" s="4" t="s">
        <v>67</v>
      </c>
      <c r="C100" s="155"/>
    </row>
    <row r="101" spans="1:3" x14ac:dyDescent="0.25">
      <c r="A101" s="6" t="s">
        <v>332</v>
      </c>
      <c r="B101" s="4" t="s">
        <v>68</v>
      </c>
      <c r="C101" s="155"/>
    </row>
    <row r="102" spans="1:3" x14ac:dyDescent="0.25">
      <c r="A102" s="5" t="s">
        <v>60</v>
      </c>
      <c r="B102" s="1"/>
      <c r="C102" s="155"/>
    </row>
    <row r="103" spans="1:3" x14ac:dyDescent="0.25">
      <c r="A103" s="8" t="s">
        <v>61</v>
      </c>
      <c r="B103" s="4" t="s">
        <v>55</v>
      </c>
      <c r="C103" s="155"/>
    </row>
    <row r="104" spans="1:3" x14ac:dyDescent="0.25">
      <c r="A104" s="8" t="s">
        <v>62</v>
      </c>
      <c r="B104" s="4" t="s">
        <v>67</v>
      </c>
      <c r="C104" s="155"/>
    </row>
    <row r="105" spans="1:3" x14ac:dyDescent="0.25">
      <c r="A105" s="5" t="s">
        <v>199</v>
      </c>
      <c r="B105" s="1"/>
      <c r="C105" s="155"/>
    </row>
    <row r="106" spans="1:3" x14ac:dyDescent="0.25">
      <c r="A106" s="8" t="s">
        <v>194</v>
      </c>
      <c r="B106" s="4" t="s">
        <v>55</v>
      </c>
      <c r="C106" s="155"/>
    </row>
    <row r="107" spans="1:3" x14ac:dyDescent="0.25">
      <c r="A107" s="8" t="s">
        <v>195</v>
      </c>
      <c r="B107" s="4">
        <v>1</v>
      </c>
      <c r="C107" s="155"/>
    </row>
    <row r="108" spans="1:3" x14ac:dyDescent="0.25">
      <c r="A108" s="8" t="s">
        <v>196</v>
      </c>
      <c r="B108" s="4">
        <v>2</v>
      </c>
      <c r="C108" s="155"/>
    </row>
    <row r="109" spans="1:3" x14ac:dyDescent="0.25">
      <c r="A109" s="8" t="s">
        <v>197</v>
      </c>
      <c r="B109" s="4">
        <v>3</v>
      </c>
      <c r="C109" s="155"/>
    </row>
    <row r="110" spans="1:3" x14ac:dyDescent="0.25">
      <c r="A110" s="8" t="s">
        <v>198</v>
      </c>
      <c r="B110" s="4">
        <v>4</v>
      </c>
      <c r="C110" s="155"/>
    </row>
    <row r="111" spans="1:3" x14ac:dyDescent="0.25">
      <c r="A111" s="8" t="s">
        <v>39</v>
      </c>
      <c r="B111" s="4" t="s">
        <v>297</v>
      </c>
      <c r="C111" s="155"/>
    </row>
    <row r="112" spans="1:3" x14ac:dyDescent="0.25">
      <c r="A112" s="5" t="s">
        <v>201</v>
      </c>
      <c r="B112" s="4"/>
      <c r="C112" s="155"/>
    </row>
    <row r="113" spans="1:3" x14ac:dyDescent="0.25">
      <c r="A113" s="76" t="s">
        <v>194</v>
      </c>
      <c r="B113" s="4" t="s">
        <v>55</v>
      </c>
      <c r="C113" s="155"/>
    </row>
    <row r="114" spans="1:3" x14ac:dyDescent="0.25">
      <c r="A114" s="8" t="s">
        <v>203</v>
      </c>
      <c r="B114" s="4">
        <v>1</v>
      </c>
      <c r="C114" s="155"/>
    </row>
    <row r="115" spans="1:3" x14ac:dyDescent="0.25">
      <c r="A115" s="8" t="s">
        <v>204</v>
      </c>
      <c r="B115" s="4">
        <v>2</v>
      </c>
      <c r="C115" s="155"/>
    </row>
    <row r="116" spans="1:3" x14ac:dyDescent="0.25">
      <c r="A116" s="8" t="s">
        <v>205</v>
      </c>
      <c r="B116" s="4">
        <v>3</v>
      </c>
      <c r="C116" s="155"/>
    </row>
    <row r="117" spans="1:3" x14ac:dyDescent="0.25">
      <c r="A117" s="8" t="s">
        <v>206</v>
      </c>
      <c r="B117" s="4">
        <v>4</v>
      </c>
      <c r="C117" s="155"/>
    </row>
    <row r="118" spans="1:3" x14ac:dyDescent="0.25">
      <c r="A118" s="5" t="s">
        <v>200</v>
      </c>
      <c r="B118" s="1"/>
      <c r="C118" s="155"/>
    </row>
    <row r="119" spans="1:3" x14ac:dyDescent="0.25">
      <c r="A119" s="14" t="s">
        <v>207</v>
      </c>
      <c r="B119" s="1"/>
      <c r="C119" s="155"/>
    </row>
    <row r="120" spans="1:3" x14ac:dyDescent="0.25">
      <c r="A120" s="5" t="s">
        <v>215</v>
      </c>
      <c r="B120" s="4"/>
      <c r="C120" s="155"/>
    </row>
    <row r="121" spans="1:3" x14ac:dyDescent="0.25">
      <c r="A121" s="6" t="s">
        <v>216</v>
      </c>
      <c r="B121" s="4" t="s">
        <v>55</v>
      </c>
      <c r="C121" s="155"/>
    </row>
    <row r="122" spans="1:3" x14ac:dyDescent="0.25">
      <c r="A122" s="6" t="s">
        <v>49</v>
      </c>
      <c r="B122" s="4" t="s">
        <v>67</v>
      </c>
      <c r="C122" s="155"/>
    </row>
    <row r="123" spans="1:3" x14ac:dyDescent="0.25">
      <c r="A123" s="5" t="s">
        <v>202</v>
      </c>
      <c r="B123" s="1"/>
      <c r="C123" s="155"/>
    </row>
    <row r="124" spans="1:3" x14ac:dyDescent="0.25">
      <c r="A124" s="76" t="s">
        <v>284</v>
      </c>
      <c r="B124" s="4" t="s">
        <v>55</v>
      </c>
      <c r="C124" s="155"/>
    </row>
    <row r="125" spans="1:3" x14ac:dyDescent="0.25">
      <c r="A125" s="8" t="s">
        <v>343</v>
      </c>
      <c r="B125" s="153">
        <v>1</v>
      </c>
      <c r="C125" s="155"/>
    </row>
    <row r="126" spans="1:3" x14ac:dyDescent="0.25">
      <c r="A126" s="8" t="s">
        <v>177</v>
      </c>
      <c r="B126" s="153">
        <v>2</v>
      </c>
      <c r="C126" s="155"/>
    </row>
    <row r="127" spans="1:3" x14ac:dyDescent="0.25">
      <c r="A127" s="8" t="s">
        <v>178</v>
      </c>
      <c r="B127" s="153">
        <v>3</v>
      </c>
      <c r="C127" s="155"/>
    </row>
    <row r="128" spans="1:3" x14ac:dyDescent="0.25">
      <c r="A128" s="8" t="s">
        <v>179</v>
      </c>
      <c r="B128" s="153">
        <v>4</v>
      </c>
      <c r="C128" s="155"/>
    </row>
    <row r="129" spans="1:3" x14ac:dyDescent="0.25">
      <c r="A129" s="8" t="s">
        <v>180</v>
      </c>
      <c r="B129" s="153">
        <v>5</v>
      </c>
      <c r="C129" s="155"/>
    </row>
    <row r="130" spans="1:3" x14ac:dyDescent="0.25">
      <c r="A130" s="8" t="s">
        <v>181</v>
      </c>
      <c r="B130" s="153">
        <v>6</v>
      </c>
      <c r="C130" s="155"/>
    </row>
    <row r="131" spans="1:3" x14ac:dyDescent="0.25">
      <c r="A131" s="8" t="s">
        <v>182</v>
      </c>
      <c r="B131" s="153">
        <v>7</v>
      </c>
      <c r="C131" s="155"/>
    </row>
    <row r="132" spans="1:3" x14ac:dyDescent="0.25">
      <c r="A132" s="8" t="s">
        <v>39</v>
      </c>
      <c r="B132" s="4" t="s">
        <v>297</v>
      </c>
      <c r="C132" s="155"/>
    </row>
    <row r="133" spans="1:3" x14ac:dyDescent="0.25">
      <c r="A133" s="5" t="s">
        <v>65</v>
      </c>
      <c r="B133" s="1"/>
      <c r="C133" s="155"/>
    </row>
    <row r="134" spans="1:3" x14ac:dyDescent="0.25">
      <c r="A134" s="8" t="s">
        <v>66</v>
      </c>
      <c r="B134" s="4">
        <v>1</v>
      </c>
      <c r="C134" s="155"/>
    </row>
    <row r="135" spans="1:3" x14ac:dyDescent="0.25">
      <c r="A135" s="8" t="s">
        <v>344</v>
      </c>
      <c r="B135" s="4">
        <v>2</v>
      </c>
      <c r="C135" s="155"/>
    </row>
    <row r="136" spans="1:3" x14ac:dyDescent="0.25">
      <c r="A136" s="5" t="s">
        <v>69</v>
      </c>
      <c r="B136" s="1"/>
      <c r="C136" s="155"/>
    </row>
    <row r="137" spans="1:3" x14ac:dyDescent="0.25">
      <c r="A137" s="8" t="s">
        <v>72</v>
      </c>
      <c r="B137" s="4" t="s">
        <v>67</v>
      </c>
      <c r="C137" s="155"/>
    </row>
    <row r="138" spans="1:3" x14ac:dyDescent="0.25">
      <c r="A138" s="8" t="s">
        <v>320</v>
      </c>
      <c r="B138" s="4" t="s">
        <v>297</v>
      </c>
      <c r="C138" s="155"/>
    </row>
    <row r="139" spans="1:3" x14ac:dyDescent="0.25">
      <c r="A139" s="5" t="s">
        <v>70</v>
      </c>
      <c r="B139" s="1"/>
      <c r="C139" s="155"/>
    </row>
    <row r="140" spans="1:3" x14ac:dyDescent="0.25">
      <c r="A140" s="8" t="s">
        <v>61</v>
      </c>
      <c r="B140" s="153">
        <v>0</v>
      </c>
      <c r="C140" s="155"/>
    </row>
    <row r="141" spans="1:3" x14ac:dyDescent="0.25">
      <c r="A141" s="8" t="s">
        <v>62</v>
      </c>
      <c r="B141" s="153">
        <v>1</v>
      </c>
      <c r="C141" s="155"/>
    </row>
    <row r="142" spans="1:3" x14ac:dyDescent="0.25">
      <c r="A142" s="5" t="s">
        <v>281</v>
      </c>
      <c r="B142" s="4"/>
      <c r="C142" s="155"/>
    </row>
    <row r="143" spans="1:3" x14ac:dyDescent="0.25">
      <c r="A143" s="76" t="s">
        <v>302</v>
      </c>
      <c r="B143" s="153">
        <v>0</v>
      </c>
      <c r="C143" s="155"/>
    </row>
    <row r="144" spans="1:3" x14ac:dyDescent="0.25">
      <c r="A144" s="8" t="s">
        <v>278</v>
      </c>
      <c r="B144" s="153">
        <v>1</v>
      </c>
      <c r="C144" s="155"/>
    </row>
    <row r="145" spans="1:3" x14ac:dyDescent="0.25">
      <c r="A145" s="8" t="s">
        <v>274</v>
      </c>
      <c r="B145" s="153">
        <v>2</v>
      </c>
      <c r="C145" s="155"/>
    </row>
    <row r="146" spans="1:3" x14ac:dyDescent="0.25">
      <c r="A146" s="8" t="s">
        <v>273</v>
      </c>
      <c r="B146" s="153">
        <v>3</v>
      </c>
      <c r="C146" s="155"/>
    </row>
    <row r="147" spans="1:3" x14ac:dyDescent="0.25">
      <c r="A147" s="8" t="s">
        <v>279</v>
      </c>
      <c r="B147" s="153">
        <v>4</v>
      </c>
      <c r="C147" s="155"/>
    </row>
    <row r="148" spans="1:3" x14ac:dyDescent="0.25">
      <c r="A148" s="8" t="s">
        <v>280</v>
      </c>
      <c r="B148" s="4" t="s">
        <v>297</v>
      </c>
      <c r="C148" s="155"/>
    </row>
    <row r="149" spans="1:3" x14ac:dyDescent="0.25">
      <c r="A149" s="5" t="s">
        <v>71</v>
      </c>
      <c r="B149" s="1"/>
      <c r="C149" s="155"/>
    </row>
    <row r="150" spans="1:3" x14ac:dyDescent="0.25">
      <c r="A150" s="8" t="s">
        <v>321</v>
      </c>
      <c r="B150" s="4" t="s">
        <v>67</v>
      </c>
      <c r="C150" s="155"/>
    </row>
    <row r="151" spans="1:3" x14ac:dyDescent="0.25">
      <c r="A151" s="8" t="s">
        <v>39</v>
      </c>
      <c r="B151" s="4" t="s">
        <v>297</v>
      </c>
      <c r="C151" s="155"/>
    </row>
    <row r="152" spans="1:3" x14ac:dyDescent="0.25">
      <c r="A152" s="5" t="s">
        <v>336</v>
      </c>
      <c r="B152" s="4"/>
      <c r="C152" s="155"/>
    </row>
    <row r="153" spans="1:3" x14ac:dyDescent="0.25">
      <c r="A153" s="76" t="s">
        <v>326</v>
      </c>
      <c r="B153" s="153">
        <v>0</v>
      </c>
      <c r="C153" s="155"/>
    </row>
    <row r="154" spans="1:3" x14ac:dyDescent="0.25">
      <c r="A154" s="8" t="s">
        <v>77</v>
      </c>
      <c r="B154" s="4">
        <v>1</v>
      </c>
      <c r="C154" s="155"/>
    </row>
    <row r="155" spans="1:3" x14ac:dyDescent="0.25">
      <c r="A155" s="8" t="s">
        <v>78</v>
      </c>
      <c r="B155" s="4">
        <v>2</v>
      </c>
      <c r="C155" s="155"/>
    </row>
    <row r="156" spans="1:3" x14ac:dyDescent="0.25">
      <c r="A156" s="8" t="s">
        <v>87</v>
      </c>
      <c r="B156" s="4">
        <v>3</v>
      </c>
      <c r="C156" s="155"/>
    </row>
    <row r="157" spans="1:3" x14ac:dyDescent="0.25">
      <c r="A157" s="8" t="s">
        <v>293</v>
      </c>
      <c r="B157" s="4">
        <v>4</v>
      </c>
      <c r="C157" s="155"/>
    </row>
    <row r="158" spans="1:3" x14ac:dyDescent="0.25">
      <c r="A158" s="8" t="s">
        <v>296</v>
      </c>
      <c r="B158" s="4">
        <v>5</v>
      </c>
      <c r="C158" s="155"/>
    </row>
    <row r="159" spans="1:3" x14ac:dyDescent="0.25">
      <c r="A159" s="8" t="s">
        <v>345</v>
      </c>
      <c r="B159" s="4">
        <v>6</v>
      </c>
      <c r="C159" s="155"/>
    </row>
    <row r="160" spans="1:3" x14ac:dyDescent="0.25">
      <c r="A160" s="8" t="s">
        <v>275</v>
      </c>
      <c r="B160" s="4">
        <v>7</v>
      </c>
      <c r="C160" s="155"/>
    </row>
    <row r="161" spans="1:3" x14ac:dyDescent="0.25">
      <c r="A161" s="8" t="s">
        <v>276</v>
      </c>
      <c r="B161" s="4">
        <v>8</v>
      </c>
      <c r="C161" s="155"/>
    </row>
    <row r="162" spans="1:3" x14ac:dyDescent="0.25">
      <c r="A162" s="8" t="s">
        <v>277</v>
      </c>
      <c r="B162" s="4">
        <v>9</v>
      </c>
      <c r="C162" s="155"/>
    </row>
    <row r="163" spans="1:3" x14ac:dyDescent="0.25">
      <c r="A163" s="8" t="s">
        <v>39</v>
      </c>
      <c r="B163" s="4" t="s">
        <v>297</v>
      </c>
      <c r="C163" s="155"/>
    </row>
    <row r="164" spans="1:3" x14ac:dyDescent="0.25">
      <c r="A164" s="5" t="s">
        <v>239</v>
      </c>
      <c r="B164" s="4"/>
      <c r="C164" s="155"/>
    </row>
    <row r="165" spans="1:3" x14ac:dyDescent="0.25">
      <c r="A165" s="8" t="s">
        <v>81</v>
      </c>
      <c r="B165" s="4" t="s">
        <v>55</v>
      </c>
      <c r="C165" s="155"/>
    </row>
    <row r="166" spans="1:3" x14ac:dyDescent="0.25">
      <c r="A166" s="8">
        <v>1</v>
      </c>
      <c r="B166" s="4" t="s">
        <v>67</v>
      </c>
      <c r="C166" s="155"/>
    </row>
    <row r="167" spans="1:3" x14ac:dyDescent="0.25">
      <c r="A167" s="8" t="s">
        <v>75</v>
      </c>
      <c r="B167" s="4" t="s">
        <v>68</v>
      </c>
      <c r="C167" s="155"/>
    </row>
    <row r="168" spans="1:3" x14ac:dyDescent="0.25">
      <c r="A168" s="8">
        <v>10</v>
      </c>
      <c r="B168" s="4" t="s">
        <v>73</v>
      </c>
      <c r="C168" s="155"/>
    </row>
    <row r="169" spans="1:3" x14ac:dyDescent="0.25">
      <c r="A169" s="8" t="s">
        <v>268</v>
      </c>
      <c r="B169" s="4" t="s">
        <v>74</v>
      </c>
      <c r="C169" s="155"/>
    </row>
    <row r="170" spans="1:3" x14ac:dyDescent="0.25">
      <c r="A170" s="8">
        <v>100</v>
      </c>
      <c r="B170" s="4" t="s">
        <v>75</v>
      </c>
      <c r="C170" s="155"/>
    </row>
    <row r="171" spans="1:3" x14ac:dyDescent="0.25">
      <c r="A171" s="8" t="s">
        <v>269</v>
      </c>
      <c r="B171" s="4" t="s">
        <v>76</v>
      </c>
      <c r="C171" s="155"/>
    </row>
    <row r="172" spans="1:3" x14ac:dyDescent="0.25">
      <c r="A172" s="8">
        <v>1000</v>
      </c>
      <c r="B172" s="4" t="s">
        <v>251</v>
      </c>
      <c r="C172" s="155"/>
    </row>
    <row r="173" spans="1:3" x14ac:dyDescent="0.25">
      <c r="A173" s="8" t="s">
        <v>39</v>
      </c>
      <c r="B173" s="4" t="s">
        <v>297</v>
      </c>
      <c r="C173" s="155"/>
    </row>
    <row r="174" spans="1:3" x14ac:dyDescent="0.25">
      <c r="A174" s="5" t="s">
        <v>241</v>
      </c>
      <c r="B174" s="4"/>
      <c r="C174" s="155"/>
    </row>
    <row r="175" spans="1:3" x14ac:dyDescent="0.25">
      <c r="A175" s="76" t="s">
        <v>285</v>
      </c>
      <c r="B175" s="4" t="s">
        <v>55</v>
      </c>
      <c r="C175" s="155"/>
    </row>
    <row r="176" spans="1:3" x14ac:dyDescent="0.25">
      <c r="A176" s="8" t="s">
        <v>346</v>
      </c>
      <c r="B176" s="4">
        <v>1</v>
      </c>
      <c r="C176" s="155"/>
    </row>
    <row r="177" spans="1:3" x14ac:dyDescent="0.25">
      <c r="A177" s="8" t="s">
        <v>294</v>
      </c>
      <c r="B177" s="4" t="s">
        <v>68</v>
      </c>
      <c r="C177" s="155"/>
    </row>
    <row r="178" spans="1:3" x14ac:dyDescent="0.25">
      <c r="A178" s="8" t="s">
        <v>295</v>
      </c>
      <c r="B178" s="4" t="s">
        <v>73</v>
      </c>
      <c r="C178" s="155"/>
    </row>
    <row r="179" spans="1:3" x14ac:dyDescent="0.25">
      <c r="A179" s="8" t="s">
        <v>39</v>
      </c>
      <c r="B179" s="4" t="s">
        <v>297</v>
      </c>
      <c r="C179" s="155"/>
    </row>
    <row r="180" spans="1:3" x14ac:dyDescent="0.25">
      <c r="A180" s="5" t="s">
        <v>79</v>
      </c>
      <c r="B180" s="4"/>
      <c r="C180" s="155"/>
    </row>
    <row r="181" spans="1:3" x14ac:dyDescent="0.25">
      <c r="A181" s="76" t="s">
        <v>327</v>
      </c>
      <c r="B181" s="153">
        <v>0</v>
      </c>
      <c r="C181" s="155"/>
    </row>
    <row r="182" spans="1:3" x14ac:dyDescent="0.25">
      <c r="A182" s="8" t="s">
        <v>347</v>
      </c>
      <c r="B182" s="4">
        <v>1</v>
      </c>
      <c r="C182" s="155"/>
    </row>
    <row r="183" spans="1:3" x14ac:dyDescent="0.25">
      <c r="A183" s="8" t="s">
        <v>169</v>
      </c>
      <c r="B183" s="4">
        <v>2</v>
      </c>
      <c r="C183" s="155"/>
    </row>
    <row r="184" spans="1:3" ht="21" x14ac:dyDescent="0.25">
      <c r="A184" s="8" t="s">
        <v>168</v>
      </c>
      <c r="B184" s="4">
        <v>3</v>
      </c>
      <c r="C184" s="155"/>
    </row>
    <row r="185" spans="1:3" x14ac:dyDescent="0.25">
      <c r="A185" s="8" t="s">
        <v>82</v>
      </c>
      <c r="B185" s="4">
        <v>4</v>
      </c>
      <c r="C185" s="155"/>
    </row>
    <row r="186" spans="1:3" x14ac:dyDescent="0.25">
      <c r="A186" s="8" t="s">
        <v>83</v>
      </c>
      <c r="B186" s="4">
        <v>5</v>
      </c>
      <c r="C186" s="155"/>
    </row>
    <row r="187" spans="1:3" x14ac:dyDescent="0.25">
      <c r="A187" s="8" t="s">
        <v>84</v>
      </c>
      <c r="B187" s="4">
        <v>6</v>
      </c>
      <c r="C187" s="155"/>
    </row>
    <row r="188" spans="1:3" x14ac:dyDescent="0.25">
      <c r="A188" s="8" t="s">
        <v>85</v>
      </c>
      <c r="B188" s="4">
        <v>7</v>
      </c>
      <c r="C188" s="155"/>
    </row>
    <row r="189" spans="1:3" x14ac:dyDescent="0.25">
      <c r="A189" s="8" t="s">
        <v>70</v>
      </c>
      <c r="B189" s="4">
        <v>8</v>
      </c>
      <c r="C189" s="155"/>
    </row>
    <row r="190" spans="1:3" x14ac:dyDescent="0.25">
      <c r="A190" s="5" t="s">
        <v>80</v>
      </c>
      <c r="B190" s="4"/>
      <c r="C190" s="155"/>
    </row>
    <row r="191" spans="1:3" x14ac:dyDescent="0.25">
      <c r="A191" s="8" t="s">
        <v>86</v>
      </c>
      <c r="B191" s="4" t="s">
        <v>55</v>
      </c>
      <c r="C191" s="155"/>
    </row>
    <row r="192" spans="1:3" x14ac:dyDescent="0.25">
      <c r="A192" s="8" t="s">
        <v>348</v>
      </c>
      <c r="B192" s="4" t="s">
        <v>67</v>
      </c>
      <c r="C192" s="155"/>
    </row>
    <row r="193" spans="1:3" ht="18" x14ac:dyDescent="0.25">
      <c r="A193" s="5" t="s">
        <v>337</v>
      </c>
      <c r="B193" s="4"/>
      <c r="C193" s="155"/>
    </row>
    <row r="194" spans="1:3" x14ac:dyDescent="0.25">
      <c r="A194" s="8" t="s">
        <v>89</v>
      </c>
      <c r="B194" s="4" t="s">
        <v>55</v>
      </c>
      <c r="C194" s="155"/>
    </row>
    <row r="195" spans="1:3" ht="18" x14ac:dyDescent="0.25">
      <c r="A195" s="8" t="s">
        <v>90</v>
      </c>
      <c r="B195" s="4" t="s">
        <v>67</v>
      </c>
      <c r="C195" s="155"/>
    </row>
    <row r="196" spans="1:3" ht="18.75" x14ac:dyDescent="0.25">
      <c r="A196" s="8" t="s">
        <v>96</v>
      </c>
      <c r="B196" s="4" t="s">
        <v>68</v>
      </c>
      <c r="C196" s="155"/>
    </row>
    <row r="197" spans="1:3" ht="18" x14ac:dyDescent="0.25">
      <c r="A197" s="8" t="s">
        <v>91</v>
      </c>
      <c r="B197" s="4" t="s">
        <v>73</v>
      </c>
      <c r="C197" s="155"/>
    </row>
    <row r="198" spans="1:3" ht="18.75" x14ac:dyDescent="0.25">
      <c r="A198" s="12" t="s">
        <v>101</v>
      </c>
      <c r="B198" s="4" t="s">
        <v>74</v>
      </c>
      <c r="C198" s="155"/>
    </row>
    <row r="199" spans="1:3" ht="18" x14ac:dyDescent="0.25">
      <c r="A199" s="8" t="s">
        <v>92</v>
      </c>
      <c r="B199" s="4" t="s">
        <v>75</v>
      </c>
      <c r="C199" s="155"/>
    </row>
    <row r="200" spans="1:3" ht="18.75" x14ac:dyDescent="0.25">
      <c r="A200" s="8" t="s">
        <v>95</v>
      </c>
      <c r="B200" s="4" t="s">
        <v>76</v>
      </c>
      <c r="C200" s="155"/>
    </row>
    <row r="201" spans="1:3" ht="18" x14ac:dyDescent="0.25">
      <c r="A201" s="8" t="s">
        <v>93</v>
      </c>
      <c r="B201" s="4" t="s">
        <v>251</v>
      </c>
      <c r="C201" s="155"/>
    </row>
    <row r="202" spans="1:3" x14ac:dyDescent="0.25">
      <c r="A202" s="12" t="s">
        <v>349</v>
      </c>
      <c r="B202" s="4" t="s">
        <v>252</v>
      </c>
      <c r="C202" s="155"/>
    </row>
    <row r="203" spans="1:3" x14ac:dyDescent="0.25">
      <c r="A203" s="8" t="s">
        <v>39</v>
      </c>
      <c r="B203" s="4" t="s">
        <v>297</v>
      </c>
      <c r="C203" s="155"/>
    </row>
    <row r="204" spans="1:3" x14ac:dyDescent="0.25">
      <c r="A204" s="5" t="s">
        <v>94</v>
      </c>
      <c r="B204" s="4"/>
      <c r="C204" s="155"/>
    </row>
    <row r="205" spans="1:3" x14ac:dyDescent="0.25">
      <c r="A205" s="12" t="s">
        <v>254</v>
      </c>
      <c r="B205" s="4" t="s">
        <v>253</v>
      </c>
      <c r="C205" s="155"/>
    </row>
    <row r="206" spans="1:3" x14ac:dyDescent="0.25">
      <c r="A206" s="13" t="s">
        <v>324</v>
      </c>
      <c r="B206" s="4" t="s">
        <v>11</v>
      </c>
      <c r="C206" s="155"/>
    </row>
    <row r="207" spans="1:3" x14ac:dyDescent="0.25">
      <c r="A207" s="13" t="s">
        <v>242</v>
      </c>
      <c r="B207" s="4" t="s">
        <v>12</v>
      </c>
      <c r="C207" s="155"/>
    </row>
    <row r="208" spans="1:3" ht="18.75" x14ac:dyDescent="0.25">
      <c r="A208" s="13" t="s">
        <v>243</v>
      </c>
      <c r="B208" s="4" t="s">
        <v>13</v>
      </c>
      <c r="C208" s="155"/>
    </row>
    <row r="209" spans="1:3" ht="30" x14ac:dyDescent="0.25">
      <c r="A209" s="13" t="s">
        <v>97</v>
      </c>
      <c r="B209" s="4" t="s">
        <v>299</v>
      </c>
      <c r="C209" s="155"/>
    </row>
    <row r="210" spans="1:3" ht="30" x14ac:dyDescent="0.25">
      <c r="A210" s="13" t="s">
        <v>350</v>
      </c>
      <c r="B210" s="4" t="s">
        <v>15</v>
      </c>
      <c r="C210" s="155"/>
    </row>
    <row r="211" spans="1:3" ht="27" x14ac:dyDescent="0.25">
      <c r="A211" s="13" t="s">
        <v>103</v>
      </c>
      <c r="B211" s="4" t="s">
        <v>16</v>
      </c>
      <c r="C211" s="155"/>
    </row>
    <row r="212" spans="1:3" ht="30.75" x14ac:dyDescent="0.25">
      <c r="A212" s="13" t="s">
        <v>325</v>
      </c>
      <c r="B212" s="4" t="s">
        <v>17</v>
      </c>
      <c r="C212" s="155"/>
    </row>
    <row r="213" spans="1:3" x14ac:dyDescent="0.25">
      <c r="A213" s="13" t="s">
        <v>99</v>
      </c>
      <c r="B213" s="4" t="s">
        <v>300</v>
      </c>
      <c r="C213" s="155"/>
    </row>
    <row r="214" spans="1:3" ht="27" x14ac:dyDescent="0.25">
      <c r="A214" s="13" t="s">
        <v>105</v>
      </c>
      <c r="B214" s="4" t="s">
        <v>19</v>
      </c>
      <c r="C214" s="155"/>
    </row>
    <row r="215" spans="1:3" ht="27" x14ac:dyDescent="0.25">
      <c r="A215" s="13" t="s">
        <v>106</v>
      </c>
      <c r="B215" s="4" t="s">
        <v>20</v>
      </c>
      <c r="C215" s="155"/>
    </row>
    <row r="216" spans="1:3" ht="27" x14ac:dyDescent="0.25">
      <c r="A216" s="13" t="s">
        <v>107</v>
      </c>
      <c r="B216" s="4" t="s">
        <v>21</v>
      </c>
      <c r="C216" s="155"/>
    </row>
    <row r="217" spans="1:3" ht="27" x14ac:dyDescent="0.25">
      <c r="A217" s="13" t="s">
        <v>108</v>
      </c>
      <c r="B217" s="4" t="s">
        <v>22</v>
      </c>
      <c r="C217" s="155"/>
    </row>
    <row r="218" spans="1:3" ht="43.5" x14ac:dyDescent="0.25">
      <c r="A218" s="13" t="s">
        <v>109</v>
      </c>
      <c r="B218" s="4" t="s">
        <v>23</v>
      </c>
      <c r="C218" s="155"/>
    </row>
    <row r="219" spans="1:3" ht="42" x14ac:dyDescent="0.25">
      <c r="A219" s="13" t="s">
        <v>114</v>
      </c>
      <c r="B219" s="4" t="s">
        <v>24</v>
      </c>
      <c r="C219" s="155"/>
    </row>
    <row r="220" spans="1:3" ht="42" x14ac:dyDescent="0.25">
      <c r="A220" s="13" t="s">
        <v>110</v>
      </c>
      <c r="B220" s="4" t="s">
        <v>25</v>
      </c>
      <c r="C220" s="155"/>
    </row>
    <row r="221" spans="1:3" ht="42" x14ac:dyDescent="0.25">
      <c r="A221" s="13" t="s">
        <v>115</v>
      </c>
      <c r="B221" s="4" t="s">
        <v>26</v>
      </c>
      <c r="C221" s="155"/>
    </row>
    <row r="222" spans="1:3" ht="33" x14ac:dyDescent="0.25">
      <c r="A222" s="13" t="s">
        <v>111</v>
      </c>
      <c r="B222" s="4" t="s">
        <v>301</v>
      </c>
      <c r="C222" s="155"/>
    </row>
    <row r="223" spans="1:3" ht="27" x14ac:dyDescent="0.25">
      <c r="A223" s="13" t="s">
        <v>112</v>
      </c>
      <c r="B223" s="4" t="s">
        <v>28</v>
      </c>
      <c r="C223" s="155"/>
    </row>
    <row r="224" spans="1:3" ht="27" x14ac:dyDescent="0.25">
      <c r="A224" s="13" t="s">
        <v>113</v>
      </c>
      <c r="B224" s="4" t="s">
        <v>29</v>
      </c>
      <c r="C224" s="155"/>
    </row>
    <row r="225" spans="1:3" x14ac:dyDescent="0.25">
      <c r="A225" s="5" t="s">
        <v>98</v>
      </c>
      <c r="B225" s="4"/>
      <c r="C225" s="155"/>
    </row>
    <row r="226" spans="1:3" x14ac:dyDescent="0.25">
      <c r="A226" s="12" t="s">
        <v>254</v>
      </c>
      <c r="B226" s="4" t="s">
        <v>253</v>
      </c>
      <c r="C226" s="155"/>
    </row>
    <row r="227" spans="1:3" x14ac:dyDescent="0.25">
      <c r="A227" s="13" t="s">
        <v>351</v>
      </c>
      <c r="B227" s="4" t="s">
        <v>11</v>
      </c>
      <c r="C227" s="155"/>
    </row>
    <row r="228" spans="1:3" x14ac:dyDescent="0.25">
      <c r="A228" s="13" t="s">
        <v>244</v>
      </c>
      <c r="B228" s="4" t="s">
        <v>12</v>
      </c>
      <c r="C228" s="155"/>
    </row>
    <row r="229" spans="1:3" ht="18.75" x14ac:dyDescent="0.25">
      <c r="A229" s="13" t="s">
        <v>245</v>
      </c>
      <c r="B229" s="4" t="s">
        <v>13</v>
      </c>
      <c r="C229" s="155"/>
    </row>
    <row r="230" spans="1:3" ht="30" x14ac:dyDescent="0.25">
      <c r="A230" s="13" t="s">
        <v>97</v>
      </c>
      <c r="B230" s="4" t="s">
        <v>299</v>
      </c>
      <c r="C230" s="155"/>
    </row>
    <row r="231" spans="1:3" ht="27" x14ac:dyDescent="0.25">
      <c r="A231" s="13" t="s">
        <v>102</v>
      </c>
      <c r="B231" s="4" t="s">
        <v>15</v>
      </c>
      <c r="C231" s="155"/>
    </row>
    <row r="232" spans="1:3" ht="27" x14ac:dyDescent="0.25">
      <c r="A232" s="13" t="s">
        <v>103</v>
      </c>
      <c r="B232" s="4" t="s">
        <v>16</v>
      </c>
      <c r="C232" s="155"/>
    </row>
    <row r="233" spans="1:3" ht="30.75" x14ac:dyDescent="0.25">
      <c r="A233" s="13" t="s">
        <v>104</v>
      </c>
      <c r="B233" s="4" t="s">
        <v>17</v>
      </c>
      <c r="C233" s="155"/>
    </row>
    <row r="234" spans="1:3" x14ac:dyDescent="0.25">
      <c r="A234" s="13" t="s">
        <v>99</v>
      </c>
      <c r="B234" s="4" t="s">
        <v>300</v>
      </c>
      <c r="C234" s="155"/>
    </row>
    <row r="235" spans="1:3" ht="27" x14ac:dyDescent="0.25">
      <c r="A235" s="13" t="s">
        <v>105</v>
      </c>
      <c r="B235" s="4" t="s">
        <v>19</v>
      </c>
      <c r="C235" s="155"/>
    </row>
    <row r="236" spans="1:3" ht="27" x14ac:dyDescent="0.25">
      <c r="A236" s="13" t="s">
        <v>106</v>
      </c>
      <c r="B236" s="4" t="s">
        <v>20</v>
      </c>
      <c r="C236" s="155"/>
    </row>
    <row r="237" spans="1:3" ht="27" x14ac:dyDescent="0.25">
      <c r="A237" s="13" t="s">
        <v>107</v>
      </c>
      <c r="B237" s="4" t="s">
        <v>21</v>
      </c>
      <c r="C237" s="155"/>
    </row>
    <row r="238" spans="1:3" ht="27" x14ac:dyDescent="0.25">
      <c r="A238" s="13" t="s">
        <v>108</v>
      </c>
      <c r="B238" s="4" t="s">
        <v>22</v>
      </c>
      <c r="C238" s="155"/>
    </row>
    <row r="239" spans="1:3" ht="43.5" x14ac:dyDescent="0.25">
      <c r="A239" s="13" t="s">
        <v>109</v>
      </c>
      <c r="B239" s="4" t="s">
        <v>23</v>
      </c>
      <c r="C239" s="155"/>
    </row>
    <row r="240" spans="1:3" ht="42" x14ac:dyDescent="0.25">
      <c r="A240" s="13" t="s">
        <v>114</v>
      </c>
      <c r="B240" s="4" t="s">
        <v>24</v>
      </c>
      <c r="C240" s="155"/>
    </row>
    <row r="241" spans="1:3" ht="42" x14ac:dyDescent="0.25">
      <c r="A241" s="13" t="s">
        <v>110</v>
      </c>
      <c r="B241" s="4" t="s">
        <v>25</v>
      </c>
      <c r="C241" s="155"/>
    </row>
    <row r="242" spans="1:3" ht="42" x14ac:dyDescent="0.25">
      <c r="A242" s="13" t="s">
        <v>115</v>
      </c>
      <c r="B242" s="4" t="s">
        <v>26</v>
      </c>
      <c r="C242" s="155"/>
    </row>
    <row r="243" spans="1:3" ht="33" x14ac:dyDescent="0.25">
      <c r="A243" s="13" t="s">
        <v>111</v>
      </c>
      <c r="B243" s="4" t="s">
        <v>301</v>
      </c>
      <c r="C243" s="155"/>
    </row>
    <row r="244" spans="1:3" ht="27" x14ac:dyDescent="0.25">
      <c r="A244" s="13" t="s">
        <v>112</v>
      </c>
      <c r="B244" s="4" t="s">
        <v>28</v>
      </c>
      <c r="C244" s="155"/>
    </row>
    <row r="245" spans="1:3" ht="27" x14ac:dyDescent="0.25">
      <c r="A245" s="13" t="s">
        <v>113</v>
      </c>
      <c r="B245" s="4" t="s">
        <v>29</v>
      </c>
      <c r="C245" s="155"/>
    </row>
    <row r="246" spans="1:3" x14ac:dyDescent="0.25">
      <c r="A246" s="5" t="s">
        <v>100</v>
      </c>
      <c r="B246" s="1"/>
      <c r="C246" s="155"/>
    </row>
    <row r="247" spans="1:3" x14ac:dyDescent="0.25">
      <c r="A247" s="8" t="s">
        <v>254</v>
      </c>
      <c r="B247" s="4" t="s">
        <v>55</v>
      </c>
      <c r="C247" s="155"/>
    </row>
    <row r="248" spans="1:3" x14ac:dyDescent="0.25">
      <c r="A248" s="9" t="s">
        <v>270</v>
      </c>
      <c r="B248" s="4" t="s">
        <v>297</v>
      </c>
      <c r="C248" s="155"/>
    </row>
    <row r="249" spans="1:3" x14ac:dyDescent="0.25">
      <c r="A249" s="5" t="s">
        <v>116</v>
      </c>
      <c r="B249" s="1"/>
      <c r="C249" s="155"/>
    </row>
    <row r="250" spans="1:3" x14ac:dyDescent="0.25">
      <c r="A250" s="9" t="s">
        <v>352</v>
      </c>
      <c r="B250" s="4" t="s">
        <v>55</v>
      </c>
      <c r="C250" s="155"/>
    </row>
    <row r="251" spans="1:3" x14ac:dyDescent="0.25">
      <c r="A251" s="9" t="s">
        <v>120</v>
      </c>
      <c r="B251" s="4" t="s">
        <v>67</v>
      </c>
      <c r="C251" s="155"/>
    </row>
    <row r="252" spans="1:3" x14ac:dyDescent="0.25">
      <c r="A252" s="9" t="s">
        <v>121</v>
      </c>
      <c r="B252" s="4" t="s">
        <v>68</v>
      </c>
      <c r="C252" s="155"/>
    </row>
    <row r="253" spans="1:3" x14ac:dyDescent="0.25">
      <c r="A253" s="9" t="s">
        <v>122</v>
      </c>
      <c r="B253" s="4" t="s">
        <v>73</v>
      </c>
      <c r="C253" s="155"/>
    </row>
    <row r="254" spans="1:3" x14ac:dyDescent="0.25">
      <c r="A254" s="9" t="s">
        <v>123</v>
      </c>
      <c r="B254" s="4" t="s">
        <v>74</v>
      </c>
      <c r="C254" s="155"/>
    </row>
    <row r="255" spans="1:3" x14ac:dyDescent="0.25">
      <c r="A255" s="9" t="s">
        <v>124</v>
      </c>
      <c r="B255" s="4" t="s">
        <v>75</v>
      </c>
      <c r="C255" s="155"/>
    </row>
    <row r="256" spans="1:3" x14ac:dyDescent="0.25">
      <c r="A256" s="9" t="s">
        <v>125</v>
      </c>
      <c r="B256" s="4" t="s">
        <v>76</v>
      </c>
      <c r="C256" s="155"/>
    </row>
    <row r="257" spans="1:3" x14ac:dyDescent="0.25">
      <c r="A257" s="9" t="s">
        <v>126</v>
      </c>
      <c r="B257" s="4" t="s">
        <v>251</v>
      </c>
      <c r="C257" s="155"/>
    </row>
    <row r="258" spans="1:3" x14ac:dyDescent="0.25">
      <c r="A258" s="9" t="s">
        <v>127</v>
      </c>
      <c r="B258" s="4" t="s">
        <v>252</v>
      </c>
      <c r="C258" s="155"/>
    </row>
    <row r="259" spans="1:3" x14ac:dyDescent="0.25">
      <c r="A259" s="9" t="s">
        <v>39</v>
      </c>
      <c r="B259" s="16" t="s">
        <v>297</v>
      </c>
      <c r="C259" s="155"/>
    </row>
    <row r="260" spans="1:3" x14ac:dyDescent="0.25">
      <c r="A260" s="5" t="s">
        <v>140</v>
      </c>
      <c r="B260" s="1"/>
      <c r="C260" s="155"/>
    </row>
    <row r="261" spans="1:3" x14ac:dyDescent="0.25">
      <c r="A261" s="9" t="s">
        <v>353</v>
      </c>
      <c r="B261" s="16">
        <v>1</v>
      </c>
      <c r="C261" s="155"/>
    </row>
    <row r="262" spans="1:3" x14ac:dyDescent="0.25">
      <c r="A262" s="9" t="s">
        <v>117</v>
      </c>
      <c r="B262" s="16">
        <v>2</v>
      </c>
      <c r="C262" s="155"/>
    </row>
    <row r="263" spans="1:3" x14ac:dyDescent="0.25">
      <c r="A263" s="9" t="s">
        <v>118</v>
      </c>
      <c r="B263" s="16">
        <v>3</v>
      </c>
      <c r="C263" s="155"/>
    </row>
    <row r="264" spans="1:3" x14ac:dyDescent="0.25">
      <c r="A264" s="9" t="s">
        <v>119</v>
      </c>
      <c r="B264" s="16">
        <v>4</v>
      </c>
      <c r="C264" s="155"/>
    </row>
    <row r="265" spans="1:3" x14ac:dyDescent="0.25">
      <c r="A265" s="9" t="s">
        <v>159</v>
      </c>
      <c r="B265" s="51" t="s">
        <v>297</v>
      </c>
      <c r="C265" s="155"/>
    </row>
    <row r="266" spans="1:3" x14ac:dyDescent="0.25">
      <c r="A266" s="5" t="s">
        <v>128</v>
      </c>
      <c r="B266" s="1"/>
      <c r="C266" s="155"/>
    </row>
    <row r="267" spans="1:3" x14ac:dyDescent="0.25">
      <c r="A267" s="9" t="s">
        <v>189</v>
      </c>
      <c r="B267" s="4" t="s">
        <v>55</v>
      </c>
      <c r="C267" s="155"/>
    </row>
    <row r="268" spans="1:3" x14ac:dyDescent="0.25">
      <c r="A268" s="9" t="s">
        <v>188</v>
      </c>
      <c r="B268" s="4" t="s">
        <v>67</v>
      </c>
      <c r="C268" s="155"/>
    </row>
    <row r="269" spans="1:3" x14ac:dyDescent="0.25">
      <c r="A269" s="5" t="s">
        <v>338</v>
      </c>
      <c r="B269" s="1"/>
      <c r="C269" s="155"/>
    </row>
    <row r="270" spans="1:3" x14ac:dyDescent="0.25">
      <c r="A270" s="14" t="s">
        <v>134</v>
      </c>
      <c r="B270" s="1"/>
      <c r="C270" s="155"/>
    </row>
    <row r="271" spans="1:3" x14ac:dyDescent="0.25">
      <c r="A271" s="5" t="s">
        <v>339</v>
      </c>
      <c r="B271" s="1"/>
      <c r="C271" s="155"/>
    </row>
    <row r="272" spans="1:3" x14ac:dyDescent="0.25">
      <c r="A272" s="14" t="s">
        <v>134</v>
      </c>
      <c r="B272" s="1"/>
      <c r="C272" s="155"/>
    </row>
    <row r="273" spans="1:3" x14ac:dyDescent="0.25">
      <c r="A273" s="5" t="s">
        <v>141</v>
      </c>
      <c r="B273" s="1"/>
      <c r="C273" s="155"/>
    </row>
    <row r="274" spans="1:3" x14ac:dyDescent="0.25">
      <c r="A274" s="76" t="s">
        <v>55</v>
      </c>
      <c r="B274" s="16">
        <v>0</v>
      </c>
      <c r="C274" s="155"/>
    </row>
    <row r="275" spans="1:3" x14ac:dyDescent="0.25">
      <c r="A275" s="9" t="s">
        <v>135</v>
      </c>
      <c r="B275" s="16">
        <v>1</v>
      </c>
      <c r="C275" s="155"/>
    </row>
    <row r="276" spans="1:3" x14ac:dyDescent="0.25">
      <c r="A276" s="9" t="s">
        <v>136</v>
      </c>
      <c r="B276" s="16">
        <v>2</v>
      </c>
      <c r="C276" s="155"/>
    </row>
    <row r="277" spans="1:3" x14ac:dyDescent="0.25">
      <c r="A277" s="9" t="s">
        <v>137</v>
      </c>
      <c r="B277" s="16">
        <v>3</v>
      </c>
      <c r="C277" s="155"/>
    </row>
    <row r="278" spans="1:3" x14ac:dyDescent="0.25">
      <c r="A278" s="9" t="s">
        <v>354</v>
      </c>
      <c r="B278" s="16">
        <v>4</v>
      </c>
      <c r="C278" s="155"/>
    </row>
    <row r="279" spans="1:3" x14ac:dyDescent="0.25">
      <c r="A279" s="9" t="s">
        <v>138</v>
      </c>
      <c r="B279" s="16">
        <v>5</v>
      </c>
      <c r="C279" s="155"/>
    </row>
    <row r="280" spans="1:3" x14ac:dyDescent="0.25">
      <c r="A280" s="9" t="s">
        <v>139</v>
      </c>
      <c r="B280" s="16">
        <v>6</v>
      </c>
      <c r="C280" s="155"/>
    </row>
    <row r="281" spans="1:3" x14ac:dyDescent="0.25">
      <c r="A281" s="5" t="s">
        <v>129</v>
      </c>
      <c r="B281" s="1"/>
      <c r="C281" s="155"/>
    </row>
    <row r="282" spans="1:3" x14ac:dyDescent="0.25">
      <c r="A282" s="76" t="s">
        <v>303</v>
      </c>
      <c r="B282" s="16">
        <v>0</v>
      </c>
      <c r="C282" s="155"/>
    </row>
    <row r="283" spans="1:3" x14ac:dyDescent="0.25">
      <c r="A283" s="9" t="s">
        <v>133</v>
      </c>
      <c r="B283" s="16">
        <v>1</v>
      </c>
      <c r="C283" s="155"/>
    </row>
    <row r="284" spans="1:3" x14ac:dyDescent="0.25">
      <c r="A284" s="9" t="s">
        <v>355</v>
      </c>
      <c r="B284" s="16">
        <v>2</v>
      </c>
      <c r="C284" s="155"/>
    </row>
    <row r="285" spans="1:3" x14ac:dyDescent="0.25">
      <c r="A285" s="9" t="s">
        <v>130</v>
      </c>
      <c r="B285" s="16">
        <v>3</v>
      </c>
      <c r="C285" s="155"/>
    </row>
    <row r="286" spans="1:3" x14ac:dyDescent="0.25">
      <c r="A286" s="9" t="s">
        <v>131</v>
      </c>
      <c r="B286" s="16">
        <v>4</v>
      </c>
      <c r="C286" s="155"/>
    </row>
    <row r="287" spans="1:3" x14ac:dyDescent="0.25">
      <c r="A287" s="9" t="s">
        <v>132</v>
      </c>
      <c r="B287" s="16">
        <v>5</v>
      </c>
      <c r="C287" s="155"/>
    </row>
    <row r="288" spans="1:3" x14ac:dyDescent="0.25">
      <c r="A288" s="5" t="s">
        <v>142</v>
      </c>
      <c r="B288" s="1"/>
      <c r="C288" s="155"/>
    </row>
    <row r="289" spans="1:3" x14ac:dyDescent="0.25">
      <c r="A289" s="9" t="s">
        <v>143</v>
      </c>
      <c r="B289" s="16">
        <v>0</v>
      </c>
      <c r="C289" s="155"/>
    </row>
    <row r="290" spans="1:3" x14ac:dyDescent="0.25">
      <c r="A290" s="9" t="s">
        <v>271</v>
      </c>
      <c r="B290" s="16">
        <v>1</v>
      </c>
      <c r="C290" s="155"/>
    </row>
    <row r="291" spans="1:3" x14ac:dyDescent="0.25">
      <c r="A291" s="9" t="s">
        <v>322</v>
      </c>
      <c r="B291" s="16">
        <v>8</v>
      </c>
      <c r="C291" s="155"/>
    </row>
    <row r="292" spans="1:3" x14ac:dyDescent="0.25">
      <c r="A292" s="9" t="s">
        <v>323</v>
      </c>
      <c r="B292" s="16">
        <v>9</v>
      </c>
      <c r="C292" s="155"/>
    </row>
    <row r="293" spans="1:3" x14ac:dyDescent="0.25">
      <c r="A293" s="9" t="s">
        <v>144</v>
      </c>
      <c r="B293" s="16" t="s">
        <v>297</v>
      </c>
      <c r="C293" s="155"/>
    </row>
    <row r="294" spans="1:3" x14ac:dyDescent="0.25">
      <c r="A294" s="5" t="s">
        <v>249</v>
      </c>
      <c r="B294" s="16"/>
      <c r="C294" s="155"/>
    </row>
    <row r="295" spans="1:3" x14ac:dyDescent="0.25">
      <c r="A295" s="14" t="s">
        <v>207</v>
      </c>
      <c r="B295" s="16"/>
      <c r="C295" s="155"/>
    </row>
    <row r="296" spans="1:3" x14ac:dyDescent="0.25">
      <c r="A296" s="5" t="s">
        <v>146</v>
      </c>
      <c r="B296" s="1"/>
      <c r="C296" s="155"/>
    </row>
    <row r="297" spans="1:3" x14ac:dyDescent="0.25">
      <c r="A297" s="9" t="s">
        <v>152</v>
      </c>
      <c r="B297" s="16">
        <v>0</v>
      </c>
      <c r="C297" s="155"/>
    </row>
    <row r="298" spans="1:3" x14ac:dyDescent="0.25">
      <c r="A298" s="9" t="s">
        <v>153</v>
      </c>
      <c r="B298" s="16">
        <v>1</v>
      </c>
      <c r="C298" s="155"/>
    </row>
    <row r="299" spans="1:3" x14ac:dyDescent="0.25">
      <c r="A299" s="9" t="s">
        <v>39</v>
      </c>
      <c r="B299" s="16" t="s">
        <v>297</v>
      </c>
      <c r="C299" s="155"/>
    </row>
    <row r="300" spans="1:3" x14ac:dyDescent="0.25">
      <c r="A300" s="5" t="s">
        <v>147</v>
      </c>
      <c r="B300" s="1"/>
      <c r="C300" s="155"/>
    </row>
    <row r="301" spans="1:3" x14ac:dyDescent="0.25">
      <c r="A301" s="9" t="s">
        <v>154</v>
      </c>
      <c r="B301" s="16">
        <v>1</v>
      </c>
      <c r="C301" s="155"/>
    </row>
    <row r="302" spans="1:3" x14ac:dyDescent="0.25">
      <c r="A302" s="9" t="s">
        <v>155</v>
      </c>
      <c r="B302" s="16">
        <v>2</v>
      </c>
      <c r="C302" s="155"/>
    </row>
    <row r="303" spans="1:3" x14ac:dyDescent="0.25">
      <c r="A303" s="9" t="s">
        <v>156</v>
      </c>
      <c r="B303" s="16">
        <v>3</v>
      </c>
      <c r="C303" s="155"/>
    </row>
    <row r="304" spans="1:3" x14ac:dyDescent="0.25">
      <c r="A304" s="9" t="s">
        <v>39</v>
      </c>
      <c r="B304" s="16" t="s">
        <v>297</v>
      </c>
      <c r="C304" s="155"/>
    </row>
    <row r="305" spans="1:3" x14ac:dyDescent="0.25">
      <c r="A305" s="5" t="s">
        <v>148</v>
      </c>
      <c r="B305" s="1"/>
      <c r="C305" s="155"/>
    </row>
    <row r="306" spans="1:3" x14ac:dyDescent="0.25">
      <c r="A306" s="9" t="s">
        <v>149</v>
      </c>
      <c r="B306" s="16">
        <v>1</v>
      </c>
      <c r="C306" s="155"/>
    </row>
    <row r="307" spans="1:3" x14ac:dyDescent="0.25">
      <c r="A307" s="9" t="s">
        <v>341</v>
      </c>
      <c r="B307" s="16">
        <v>2</v>
      </c>
      <c r="C307" s="155"/>
    </row>
    <row r="308" spans="1:3" x14ac:dyDescent="0.25">
      <c r="A308" s="9" t="s">
        <v>150</v>
      </c>
      <c r="B308" s="16">
        <v>3</v>
      </c>
      <c r="C308" s="155"/>
    </row>
    <row r="309" spans="1:3" x14ac:dyDescent="0.25">
      <c r="A309" s="9" t="s">
        <v>356</v>
      </c>
      <c r="B309" s="16">
        <v>4</v>
      </c>
      <c r="C309" s="155"/>
    </row>
    <row r="310" spans="1:3" x14ac:dyDescent="0.25">
      <c r="A310" s="9" t="s">
        <v>151</v>
      </c>
      <c r="B310" s="16">
        <v>5</v>
      </c>
      <c r="C310" s="155"/>
    </row>
    <row r="311" spans="1:3" x14ac:dyDescent="0.25">
      <c r="A311" s="9" t="s">
        <v>39</v>
      </c>
      <c r="B311" s="16" t="s">
        <v>297</v>
      </c>
      <c r="C311" s="155"/>
    </row>
  </sheetData>
  <sheetProtection algorithmName="SHA-512" hashValue="vN9fFbg/3KKYDZUxxv3KPjpQiJS4YRayY4yvBbztODCqGDL6WYdTyVbuitwe+fn+XD3Molj9fNPh5BDT8rB8Fg==" saltValue="iB5VSfZulJlF5ejTnygc8w==" spinCount="100000" sheet="1" objects="1" scenarios="1" formatRows="0" selectLockedCells="1"/>
  <phoneticPr fontId="20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ignoredErrors>
    <ignoredError sqref="B137 B150 A167 A169:A17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28" workbookViewId="0">
      <selection activeCell="A277" sqref="A277"/>
    </sheetView>
  </sheetViews>
  <sheetFormatPr defaultRowHeight="15" x14ac:dyDescent="0.25"/>
  <cols>
    <col min="1" max="1" width="6.140625" customWidth="1"/>
    <col min="2" max="2" width="5" style="17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30" t="s">
        <v>41</v>
      </c>
      <c r="B1" s="31"/>
      <c r="C1" s="32"/>
      <c r="D1" s="32"/>
      <c r="E1" s="47" t="s">
        <v>162</v>
      </c>
      <c r="F1" s="42">
        <f>COUNTBLANK(KodyOC)</f>
        <v>46</v>
      </c>
      <c r="G1" s="49" t="s">
        <v>173</v>
      </c>
      <c r="H1" s="91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","")&amp;""&amp;IF(G55&lt;&gt;"",A55&amp;" - "&amp;G55&amp;", ","")&amp;""&amp;IF(G56&lt;&gt;"",A56&amp;" - "&amp;G56&amp;", ",""))</f>
        <v/>
      </c>
    </row>
    <row r="2" spans="1:8" ht="14.25" customHeight="1" thickBot="1" x14ac:dyDescent="0.4">
      <c r="A2" s="30"/>
      <c r="B2" s="31"/>
      <c r="D2" s="32"/>
      <c r="E2" s="48" t="s">
        <v>171</v>
      </c>
      <c r="F2" s="42">
        <f>COUNTBLANK(KodyOC_HW)</f>
        <v>17</v>
      </c>
      <c r="G2" s="66"/>
      <c r="H2" s="33"/>
    </row>
    <row r="3" spans="1:8" ht="14.25" customHeight="1" thickBot="1" x14ac:dyDescent="0.3">
      <c r="A3" s="71" t="s">
        <v>255</v>
      </c>
      <c r="B3" s="72" t="s">
        <v>256</v>
      </c>
      <c r="C3" s="73" t="s">
        <v>257</v>
      </c>
      <c r="D3" s="74" t="s">
        <v>258</v>
      </c>
      <c r="E3" s="75"/>
      <c r="F3" s="42"/>
      <c r="G3" s="66"/>
      <c r="H3" s="33"/>
    </row>
    <row r="4" spans="1:8" ht="15.75" x14ac:dyDescent="0.25">
      <c r="A4" s="34">
        <v>0</v>
      </c>
      <c r="B4" s="35" t="s">
        <v>42</v>
      </c>
      <c r="C4" s="36"/>
      <c r="D4" s="36"/>
      <c r="E4" s="32"/>
      <c r="F4" s="32"/>
      <c r="G4" s="46" t="s">
        <v>163</v>
      </c>
      <c r="H4" s="32"/>
    </row>
    <row r="5" spans="1:8" x14ac:dyDescent="0.25">
      <c r="A5" s="37">
        <f>Specifikace!B5</f>
        <v>5</v>
      </c>
      <c r="B5" s="38" t="str">
        <f>Specifikace!E5</f>
        <v/>
      </c>
      <c r="C5" s="39" t="str">
        <f>Specifikace!C5</f>
        <v>Provedení měřicího čidla</v>
      </c>
      <c r="D5" s="40">
        <f>Specifikace!D5</f>
        <v>0</v>
      </c>
      <c r="E5" s="36"/>
      <c r="F5" s="32"/>
      <c r="G5" s="88" t="str">
        <f>IF(MID(B5,1,1)="X",C5,"")</f>
        <v/>
      </c>
      <c r="H5" s="32"/>
    </row>
    <row r="6" spans="1:8" x14ac:dyDescent="0.25">
      <c r="A6" s="37">
        <f>Specifikace!B6</f>
        <v>6</v>
      </c>
      <c r="B6" s="38" t="str">
        <f>Specifikace!E6</f>
        <v/>
      </c>
      <c r="C6" s="39" t="str">
        <f>Specifikace!C6</f>
        <v>Vybavení a provedení průtokoměru</v>
      </c>
      <c r="D6" s="40">
        <f>Specifikace!D6</f>
        <v>0</v>
      </c>
      <c r="E6" s="36"/>
      <c r="F6" s="32"/>
      <c r="G6" s="89" t="str">
        <f>IF(MID(B6,1,1)="X",C6,"")</f>
        <v/>
      </c>
      <c r="H6" s="32"/>
    </row>
    <row r="7" spans="1:8" x14ac:dyDescent="0.25">
      <c r="A7" s="37" t="str">
        <f>Specifikace!B7</f>
        <v xml:space="preserve"> - </v>
      </c>
      <c r="B7" s="38" t="str">
        <f>Specifikace!E7</f>
        <v>.1-</v>
      </c>
      <c r="C7" s="39" t="str">
        <f>Specifikace!C7</f>
        <v>TECHNICKÉ PARAMETRY</v>
      </c>
      <c r="D7" s="40" t="str">
        <f>Specifikace!D7</f>
        <v xml:space="preserve"> - </v>
      </c>
      <c r="E7" s="36"/>
      <c r="F7" s="32"/>
      <c r="G7" s="89" t="str">
        <f t="shared" ref="G7:G56" si="0">IF(MID(B7,1,1)="X",C7,"")</f>
        <v/>
      </c>
      <c r="H7" s="32"/>
    </row>
    <row r="8" spans="1:8" x14ac:dyDescent="0.25">
      <c r="A8" s="37">
        <f>Specifikace!B8</f>
        <v>8</v>
      </c>
      <c r="B8" s="38" t="str">
        <f>Specifikace!E8</f>
        <v/>
      </c>
      <c r="C8" s="39" t="str">
        <f>Specifikace!C8</f>
        <v>Dimenze čidla  ~  maximální průtok</v>
      </c>
      <c r="D8" s="40">
        <f>Specifikace!D8</f>
        <v>0</v>
      </c>
      <c r="E8" s="36"/>
      <c r="F8" s="32"/>
      <c r="G8" s="89" t="str">
        <f t="shared" si="0"/>
        <v/>
      </c>
      <c r="H8" s="32"/>
    </row>
    <row r="9" spans="1:8" x14ac:dyDescent="0.25">
      <c r="A9" s="37">
        <f>Specifikace!B9</f>
        <v>9</v>
      </c>
      <c r="B9" s="38" t="str">
        <f>Specifikace!E9</f>
        <v/>
      </c>
      <c r="C9" s="39" t="str">
        <f>Specifikace!C9</f>
        <v>Příruby čidla</v>
      </c>
      <c r="D9" s="40">
        <f>Specifikace!D9</f>
        <v>0</v>
      </c>
      <c r="E9" s="36"/>
      <c r="F9" s="32"/>
      <c r="G9" s="89" t="str">
        <f t="shared" si="0"/>
        <v/>
      </c>
      <c r="H9" s="32"/>
    </row>
    <row r="10" spans="1:8" x14ac:dyDescent="0.25">
      <c r="A10" s="37">
        <f>Specifikace!B10</f>
        <v>10</v>
      </c>
      <c r="B10" s="38" t="str">
        <f>Specifikace!E10</f>
        <v/>
      </c>
      <c r="C10" s="39" t="str">
        <f>Specifikace!C10</f>
        <v>Materiál a povrchová úprava čidla</v>
      </c>
      <c r="D10" s="40">
        <f>Specifikace!D10</f>
        <v>0</v>
      </c>
      <c r="E10" s="36"/>
      <c r="F10" s="32"/>
      <c r="G10" s="89" t="str">
        <f t="shared" si="0"/>
        <v/>
      </c>
      <c r="H10" s="32"/>
    </row>
    <row r="11" spans="1:8" x14ac:dyDescent="0.25">
      <c r="A11" s="37">
        <f>Specifikace!B11</f>
        <v>11</v>
      </c>
      <c r="B11" s="38" t="str">
        <f>Specifikace!E11</f>
        <v/>
      </c>
      <c r="C11" s="39" t="str">
        <f>Specifikace!C11</f>
        <v>Materiál elektrod</v>
      </c>
      <c r="D11" s="40">
        <f>Specifikace!D11</f>
        <v>0</v>
      </c>
      <c r="E11" s="36"/>
      <c r="F11" s="32"/>
      <c r="G11" s="89" t="str">
        <f t="shared" si="0"/>
        <v/>
      </c>
      <c r="H11" s="32"/>
    </row>
    <row r="12" spans="1:8" x14ac:dyDescent="0.25">
      <c r="A12" s="37">
        <f>Specifikace!B12</f>
        <v>12</v>
      </c>
      <c r="B12" s="38" t="str">
        <f>Specifikace!E12</f>
        <v/>
      </c>
      <c r="C12" s="39" t="str">
        <f>Specifikace!C12</f>
        <v>Zemnicí elektroda</v>
      </c>
      <c r="D12" s="40">
        <f>Specifikace!D12</f>
        <v>0</v>
      </c>
      <c r="E12" s="36"/>
      <c r="F12" s="32"/>
      <c r="G12" s="89" t="str">
        <f t="shared" si="0"/>
        <v/>
      </c>
      <c r="H12" s="32"/>
    </row>
    <row r="13" spans="1:8" x14ac:dyDescent="0.25">
      <c r="A13" s="37">
        <f>Specifikace!B13</f>
        <v>13</v>
      </c>
      <c r="B13" s="38" t="str">
        <f>Specifikace!E13</f>
        <v/>
      </c>
      <c r="C13" s="39" t="str">
        <f>Specifikace!C13</f>
        <v>Výstelka čidla</v>
      </c>
      <c r="D13" s="40">
        <f>Specifikace!D13</f>
        <v>0</v>
      </c>
      <c r="E13" s="36"/>
      <c r="F13" s="32"/>
      <c r="G13" s="89" t="str">
        <f t="shared" si="0"/>
        <v/>
      </c>
      <c r="H13" s="32"/>
    </row>
    <row r="14" spans="1:8" x14ac:dyDescent="0.25">
      <c r="A14" s="37">
        <f>Specifikace!B14</f>
        <v>14</v>
      </c>
      <c r="B14" s="38" t="str">
        <f>Specifikace!E14</f>
        <v/>
      </c>
      <c r="C14" s="39" t="str">
        <f>Specifikace!C14</f>
        <v>Krytí čidla</v>
      </c>
      <c r="D14" s="40">
        <f>Specifikace!D14</f>
        <v>0</v>
      </c>
      <c r="E14" s="36"/>
      <c r="F14" s="32"/>
      <c r="G14" s="89" t="str">
        <f t="shared" si="0"/>
        <v/>
      </c>
      <c r="H14" s="32"/>
    </row>
    <row r="15" spans="1:8" x14ac:dyDescent="0.25">
      <c r="A15" s="37">
        <f>Specifikace!B15</f>
        <v>15</v>
      </c>
      <c r="B15" s="38" t="str">
        <f>Specifikace!E15</f>
        <v/>
      </c>
      <c r="C15" s="39" t="str">
        <f>Specifikace!C15</f>
        <v>Jmenovitý tlak</v>
      </c>
      <c r="D15" s="40">
        <f>Specifikace!D15</f>
        <v>0</v>
      </c>
      <c r="E15" s="36"/>
      <c r="F15" s="32"/>
      <c r="G15" s="89" t="str">
        <f t="shared" si="0"/>
        <v/>
      </c>
      <c r="H15" s="32"/>
    </row>
    <row r="16" spans="1:8" x14ac:dyDescent="0.25">
      <c r="A16" s="37">
        <f>Specifikace!B16</f>
        <v>16</v>
      </c>
      <c r="B16" s="38" t="str">
        <f>Specifikace!E16</f>
        <v/>
      </c>
      <c r="C16" s="39" t="str">
        <f>Specifikace!C16</f>
        <v>Maximální provozní teplota média (TSmax)</v>
      </c>
      <c r="D16" s="40">
        <f>Specifikace!D16</f>
        <v>0</v>
      </c>
      <c r="E16" s="36"/>
      <c r="F16" s="32"/>
      <c r="G16" s="89" t="str">
        <f t="shared" si="0"/>
        <v/>
      </c>
      <c r="H16" s="32"/>
    </row>
    <row r="17" spans="1:8" x14ac:dyDescent="0.25">
      <c r="A17" s="37">
        <f>Specifikace!B17</f>
        <v>17</v>
      </c>
      <c r="B17" s="38" t="str">
        <f>Specifikace!E17</f>
        <v/>
      </c>
      <c r="C17" s="39" t="str">
        <f>Specifikace!C17</f>
        <v>Maximální dovolený tlak (PSmax)</v>
      </c>
      <c r="D17" s="40">
        <f>Specifikace!D17</f>
        <v>0</v>
      </c>
      <c r="E17" s="36"/>
      <c r="F17" s="32"/>
      <c r="G17" s="89" t="str">
        <f t="shared" si="0"/>
        <v/>
      </c>
      <c r="H17" s="32"/>
    </row>
    <row r="18" spans="1:8" x14ac:dyDescent="0.25">
      <c r="A18" s="37">
        <f>Specifikace!B18</f>
        <v>18</v>
      </c>
      <c r="B18" s="38" t="str">
        <f>Specifikace!E18</f>
        <v/>
      </c>
      <c r="C18" s="39" t="str">
        <f>Specifikace!C18</f>
        <v>Napájení</v>
      </c>
      <c r="D18" s="40">
        <f>Specifikace!D18</f>
        <v>0</v>
      </c>
      <c r="E18" s="36"/>
      <c r="F18" s="32"/>
      <c r="G18" s="89" t="str">
        <f t="shared" si="0"/>
        <v/>
      </c>
      <c r="H18" s="32"/>
    </row>
    <row r="19" spans="1:8" x14ac:dyDescent="0.25">
      <c r="A19" s="37">
        <f>Specifikace!B20</f>
        <v>20</v>
      </c>
      <c r="B19" s="38" t="str">
        <f>Specifikace!E20</f>
        <v/>
      </c>
      <c r="C19" s="39" t="str">
        <f>Specifikace!C20</f>
        <v>Indikace nezaplaveného potrubí</v>
      </c>
      <c r="D19" s="40">
        <f>Specifikace!D20</f>
        <v>0</v>
      </c>
      <c r="E19" s="36"/>
      <c r="F19" s="32"/>
      <c r="G19" s="89" t="str">
        <f t="shared" si="0"/>
        <v/>
      </c>
      <c r="H19" s="32"/>
    </row>
    <row r="20" spans="1:8" x14ac:dyDescent="0.25">
      <c r="A20" s="37">
        <f>Specifikace!B21</f>
        <v>21</v>
      </c>
      <c r="B20" s="38" t="str">
        <f>Specifikace!E21</f>
        <v/>
      </c>
      <c r="C20" s="39" t="str">
        <f>Specifikace!C21</f>
        <v>Druh tekutiny dle PED 2014/68/EU</v>
      </c>
      <c r="D20" s="40">
        <f>Specifikace!D21</f>
        <v>0</v>
      </c>
      <c r="E20" s="36"/>
      <c r="F20" s="32"/>
      <c r="G20" s="89" t="str">
        <f t="shared" si="0"/>
        <v/>
      </c>
      <c r="H20" s="32"/>
    </row>
    <row r="21" spans="1:8" x14ac:dyDescent="0.25">
      <c r="A21" s="37">
        <f>Specifikace!B22</f>
        <v>22</v>
      </c>
      <c r="B21" s="38" t="str">
        <f>Specifikace!E22</f>
        <v/>
      </c>
      <c r="C21" s="39" t="str">
        <f>Specifikace!C22</f>
        <v>Kategorie dle PED 2014/68/EU</v>
      </c>
      <c r="D21" s="40">
        <f>Specifikace!D22</f>
        <v>0</v>
      </c>
      <c r="E21" s="36"/>
      <c r="F21" s="32"/>
      <c r="G21" s="89" t="str">
        <f t="shared" si="0"/>
        <v/>
      </c>
      <c r="H21" s="32"/>
    </row>
    <row r="22" spans="1:8" x14ac:dyDescent="0.25">
      <c r="A22" s="37">
        <f>Specifikace!B23</f>
        <v>23</v>
      </c>
      <c r="B22" s="38" t="str">
        <f>Specifikace!E23</f>
        <v/>
      </c>
      <c r="C22" s="39" t="str">
        <f>Specifikace!C23</f>
        <v>Popis měřené tekutiny</v>
      </c>
      <c r="D22" s="40">
        <f>Specifikace!D23</f>
        <v>0</v>
      </c>
      <c r="E22" s="36"/>
      <c r="F22" s="32"/>
      <c r="G22" s="89" t="str">
        <f t="shared" si="0"/>
        <v/>
      </c>
      <c r="H22" s="32"/>
    </row>
    <row r="23" spans="1:8" x14ac:dyDescent="0.25">
      <c r="A23" s="37">
        <f>Specifikace!B24</f>
        <v>24</v>
      </c>
      <c r="B23" s="38" t="str">
        <f>Specifikace!E24</f>
        <v/>
      </c>
      <c r="C23" s="39" t="str">
        <f>Specifikace!C24</f>
        <v>Zemnicí kroužky</v>
      </c>
      <c r="D23" s="40">
        <f>Specifikace!D24</f>
        <v>0</v>
      </c>
      <c r="E23" s="36"/>
      <c r="F23" s="32"/>
      <c r="G23" s="89" t="str">
        <f t="shared" si="0"/>
        <v/>
      </c>
      <c r="H23" s="32"/>
    </row>
    <row r="24" spans="1:8" x14ac:dyDescent="0.25">
      <c r="A24" s="37">
        <f>Specifikace!B25</f>
        <v>25</v>
      </c>
      <c r="B24" s="38" t="str">
        <f>Specifikace!E25</f>
        <v/>
      </c>
      <c r="C24" s="39" t="str">
        <f>Specifikace!C25</f>
        <v>Délka kabelů</v>
      </c>
      <c r="D24" s="40">
        <f>Specifikace!D25</f>
        <v>0</v>
      </c>
      <c r="E24" s="36"/>
      <c r="F24" s="32"/>
      <c r="G24" s="89" t="str">
        <f t="shared" si="0"/>
        <v/>
      </c>
      <c r="H24" s="32"/>
    </row>
    <row r="25" spans="1:8" x14ac:dyDescent="0.25">
      <c r="A25" s="37" t="str">
        <f>Specifikace!B26</f>
        <v xml:space="preserve"> - </v>
      </c>
      <c r="B25" s="38" t="str">
        <f>Specifikace!E26</f>
        <v>-</v>
      </c>
      <c r="C25" s="39" t="str">
        <f>Specifikace!C26</f>
        <v>NASTAVENÍ PRŮTOKOMĚRU</v>
      </c>
      <c r="D25" s="40" t="str">
        <f>Specifikace!D26</f>
        <v xml:space="preserve"> - </v>
      </c>
      <c r="E25" s="36"/>
      <c r="F25" s="32"/>
      <c r="G25" s="89" t="str">
        <f t="shared" si="0"/>
        <v/>
      </c>
      <c r="H25" s="32"/>
    </row>
    <row r="26" spans="1:8" x14ac:dyDescent="0.25">
      <c r="A26" s="37">
        <f>Specifikace!B27</f>
        <v>27</v>
      </c>
      <c r="B26" s="38" t="str">
        <f>Specifikace!E27</f>
        <v/>
      </c>
      <c r="C26" s="39" t="str">
        <f>Specifikace!C27</f>
        <v>Druh měření</v>
      </c>
      <c r="D26" s="40">
        <f>Specifikace!D27</f>
        <v>0</v>
      </c>
      <c r="E26" s="36"/>
      <c r="F26" s="32"/>
      <c r="G26" s="89" t="str">
        <f t="shared" si="0"/>
        <v/>
      </c>
      <c r="H26" s="32"/>
    </row>
    <row r="27" spans="1:8" x14ac:dyDescent="0.25">
      <c r="A27" s="37">
        <f>Specifikace!B28</f>
        <v>28</v>
      </c>
      <c r="B27" s="38" t="str">
        <f>Specifikace!E28</f>
        <v/>
      </c>
      <c r="C27" s="39" t="str">
        <f>Specifikace!C28</f>
        <v>Necitlivost měření</v>
      </c>
      <c r="D27" s="40">
        <f>Specifikace!D28</f>
        <v>0</v>
      </c>
      <c r="E27" s="36"/>
      <c r="F27" s="32"/>
      <c r="G27" s="89" t="str">
        <f t="shared" si="0"/>
        <v/>
      </c>
      <c r="H27" s="32"/>
    </row>
    <row r="28" spans="1:8" x14ac:dyDescent="0.25">
      <c r="A28" s="37">
        <f>Specifikace!B29</f>
        <v>29</v>
      </c>
      <c r="B28" s="38" t="str">
        <f>Specifikace!E29</f>
        <v/>
      </c>
      <c r="C28" s="39" t="str">
        <f>Specifikace!C29</f>
        <v>Dávkování</v>
      </c>
      <c r="D28" s="40">
        <f>Specifikace!D29</f>
        <v>0</v>
      </c>
      <c r="E28" s="36"/>
      <c r="F28" s="32"/>
      <c r="G28" s="89" t="str">
        <f t="shared" si="0"/>
        <v/>
      </c>
      <c r="H28" s="32"/>
    </row>
    <row r="29" spans="1:8" x14ac:dyDescent="0.25">
      <c r="A29" s="37">
        <f>Specifikace!B30</f>
        <v>30</v>
      </c>
      <c r="B29" s="38" t="str">
        <f>Specifikace!E30</f>
        <v/>
      </c>
      <c r="C29" s="39" t="str">
        <f>Specifikace!C30</f>
        <v>Velikost dávky</v>
      </c>
      <c r="D29" s="40">
        <f>Specifikace!D30</f>
        <v>0</v>
      </c>
      <c r="E29" s="36"/>
      <c r="F29" s="32"/>
      <c r="G29" s="89" t="str">
        <f t="shared" si="0"/>
        <v/>
      </c>
      <c r="H29" s="32"/>
    </row>
    <row r="30" spans="1:8" x14ac:dyDescent="0.25">
      <c r="A30" s="37">
        <f>Specifikace!B31</f>
        <v>31</v>
      </c>
      <c r="B30" s="38" t="str">
        <f>Specifikace!E31</f>
        <v/>
      </c>
      <c r="C30" s="39" t="str">
        <f>Specifikace!C31</f>
        <v>Počet vzorků pro průměrování</v>
      </c>
      <c r="D30" s="40">
        <f>Specifikace!D31</f>
        <v>0</v>
      </c>
      <c r="E30" s="36"/>
      <c r="F30" s="32"/>
      <c r="G30" s="89" t="str">
        <f t="shared" si="0"/>
        <v/>
      </c>
      <c r="H30" s="32"/>
    </row>
    <row r="31" spans="1:8" x14ac:dyDescent="0.25">
      <c r="A31" s="37">
        <f>Specifikace!B32</f>
        <v>32</v>
      </c>
      <c r="B31" s="38" t="str">
        <f>Specifikace!E32</f>
        <v/>
      </c>
      <c r="C31" s="39" t="str">
        <f>Specifikace!C32</f>
        <v xml:space="preserve">Jednotky zobrazovaného průtoku </v>
      </c>
      <c r="D31" s="40">
        <f>Specifikace!D32</f>
        <v>0</v>
      </c>
      <c r="E31" s="36"/>
      <c r="F31" s="32"/>
      <c r="G31" s="89" t="str">
        <f t="shared" si="0"/>
        <v/>
      </c>
      <c r="H31" s="32"/>
    </row>
    <row r="32" spans="1:8" x14ac:dyDescent="0.25">
      <c r="A32" s="37">
        <f>Specifikace!B33</f>
        <v>33</v>
      </c>
      <c r="B32" s="38" t="str">
        <f>Specifikace!E33</f>
        <v/>
      </c>
      <c r="C32" s="39" t="str">
        <f>Specifikace!C33</f>
        <v>Impulzní číslo</v>
      </c>
      <c r="D32" s="40">
        <f>Specifikace!D33</f>
        <v>0</v>
      </c>
      <c r="E32" s="36"/>
      <c r="F32" s="32"/>
      <c r="G32" s="89" t="str">
        <f t="shared" si="0"/>
        <v/>
      </c>
      <c r="H32" s="32"/>
    </row>
    <row r="33" spans="1:8" x14ac:dyDescent="0.25">
      <c r="A33" s="37">
        <f>Specifikace!B34</f>
        <v>34</v>
      </c>
      <c r="B33" s="38" t="str">
        <f>Specifikace!E34</f>
        <v/>
      </c>
      <c r="C33" s="39" t="str">
        <f>Specifikace!C34</f>
        <v>Jednotky impulzního čísla</v>
      </c>
      <c r="D33" s="40">
        <f>Specifikace!D34</f>
        <v>0</v>
      </c>
      <c r="E33" s="36"/>
      <c r="F33" s="32"/>
      <c r="G33" s="89" t="str">
        <f t="shared" si="0"/>
        <v/>
      </c>
      <c r="H33" s="32"/>
    </row>
    <row r="34" spans="1:8" x14ac:dyDescent="0.25">
      <c r="A34" s="37">
        <f>Specifikace!B35</f>
        <v>35</v>
      </c>
      <c r="B34" s="38" t="str">
        <f>Specifikace!E35</f>
        <v/>
      </c>
      <c r="C34" s="39" t="str">
        <f>Specifikace!C35</f>
        <v>Výběr položek v nastavení menu</v>
      </c>
      <c r="D34" s="40">
        <f>Specifikace!D35</f>
        <v>0</v>
      </c>
      <c r="E34" s="36"/>
      <c r="F34" s="32"/>
      <c r="G34" s="89" t="str">
        <f t="shared" si="0"/>
        <v/>
      </c>
      <c r="H34" s="32"/>
    </row>
    <row r="35" spans="1:8" x14ac:dyDescent="0.25">
      <c r="A35" s="37">
        <f>Specifikace!B36</f>
        <v>36</v>
      </c>
      <c r="B35" s="38" t="str">
        <f>Specifikace!E36</f>
        <v/>
      </c>
      <c r="C35" s="39" t="str">
        <f>Specifikace!C36</f>
        <v>Aktivace chyb</v>
      </c>
      <c r="D35" s="40">
        <f>Specifikace!D36</f>
        <v>0</v>
      </c>
      <c r="E35" s="36"/>
      <c r="F35" s="32"/>
      <c r="G35" s="89" t="str">
        <f t="shared" si="0"/>
        <v/>
      </c>
      <c r="H35" s="32"/>
    </row>
    <row r="36" spans="1:8" x14ac:dyDescent="0.25">
      <c r="A36" s="37">
        <f>Specifikace!B37</f>
        <v>37</v>
      </c>
      <c r="B36" s="38" t="str">
        <f>Specifikace!E37</f>
        <v/>
      </c>
      <c r="C36" s="39" t="str">
        <f>Specifikace!C37</f>
        <v>Proudový výstup - průtok pro Imax=Qmax</v>
      </c>
      <c r="D36" s="40">
        <f>Specifikace!D37</f>
        <v>0</v>
      </c>
      <c r="E36" s="36"/>
      <c r="F36" s="32"/>
      <c r="G36" s="89" t="str">
        <f t="shared" si="0"/>
        <v/>
      </c>
      <c r="H36" s="32"/>
    </row>
    <row r="37" spans="1:8" x14ac:dyDescent="0.25">
      <c r="A37" s="37">
        <f>Specifikace!B38</f>
        <v>38</v>
      </c>
      <c r="B37" s="38" t="str">
        <f>Specifikace!E38</f>
        <v/>
      </c>
      <c r="C37" s="39" t="str">
        <f>Specifikace!C38</f>
        <v>Funkce výstupu OUT 1</v>
      </c>
      <c r="D37" s="40">
        <f>Specifikace!D38</f>
        <v>0</v>
      </c>
      <c r="E37" s="36"/>
      <c r="F37" s="32"/>
      <c r="G37" s="89" t="str">
        <f t="shared" si="0"/>
        <v/>
      </c>
      <c r="H37" s="32"/>
    </row>
    <row r="38" spans="1:8" x14ac:dyDescent="0.25">
      <c r="A38" s="37">
        <f>Specifikace!B39</f>
        <v>39</v>
      </c>
      <c r="B38" s="38" t="str">
        <f>Specifikace!E39</f>
        <v/>
      </c>
      <c r="C38" s="39" t="str">
        <f>Specifikace!C39</f>
        <v>Funkce výstupu OUT 2</v>
      </c>
      <c r="D38" s="40">
        <f>Specifikace!D39</f>
        <v>0</v>
      </c>
      <c r="E38" s="36"/>
      <c r="F38" s="32"/>
      <c r="G38" s="89" t="str">
        <f t="shared" si="0"/>
        <v/>
      </c>
      <c r="H38" s="32"/>
    </row>
    <row r="39" spans="1:8" x14ac:dyDescent="0.25">
      <c r="A39" s="37">
        <f>Specifikace!B40</f>
        <v>40</v>
      </c>
      <c r="B39" s="38" t="str">
        <f>Specifikace!E40</f>
        <v/>
      </c>
      <c r="C39" s="39" t="str">
        <f>Specifikace!C40</f>
        <v>Funkce relé</v>
      </c>
      <c r="D39" s="40">
        <f>Specifikace!D40</f>
        <v>0</v>
      </c>
      <c r="E39" s="36"/>
      <c r="F39" s="32"/>
      <c r="G39" s="89" t="str">
        <f t="shared" si="0"/>
        <v/>
      </c>
      <c r="H39" s="32"/>
    </row>
    <row r="40" spans="1:8" x14ac:dyDescent="0.25">
      <c r="A40" s="37">
        <f>Specifikace!B41</f>
        <v>41</v>
      </c>
      <c r="B40" s="38" t="str">
        <f>Specifikace!E41</f>
        <v/>
      </c>
      <c r="C40" s="39" t="str">
        <f>Specifikace!C41</f>
        <v>Čištění elektrod</v>
      </c>
      <c r="D40" s="40">
        <f>Specifikace!D41</f>
        <v>0</v>
      </c>
      <c r="E40" s="36"/>
      <c r="F40" s="32"/>
      <c r="G40" s="89" t="str">
        <f t="shared" si="0"/>
        <v/>
      </c>
      <c r="H40" s="32"/>
    </row>
    <row r="41" spans="1:8" x14ac:dyDescent="0.25">
      <c r="A41" s="37">
        <f>Specifikace!B42</f>
        <v>42</v>
      </c>
      <c r="B41" s="38" t="str">
        <f>Specifikace!E42</f>
        <v/>
      </c>
      <c r="C41" s="39" t="str">
        <f>Specifikace!C42</f>
        <v>Zobrazovací jazyk</v>
      </c>
      <c r="D41" s="40">
        <f>Specifikace!D42</f>
        <v>0</v>
      </c>
      <c r="E41" s="36"/>
      <c r="F41" s="32"/>
      <c r="G41" s="89" t="str">
        <f t="shared" si="0"/>
        <v/>
      </c>
      <c r="H41" s="32"/>
    </row>
    <row r="42" spans="1:8" x14ac:dyDescent="0.25">
      <c r="A42" s="37" t="str">
        <f>Specifikace!B43</f>
        <v xml:space="preserve"> - </v>
      </c>
      <c r="B42" s="38" t="str">
        <f>Specifikace!E43</f>
        <v>-</v>
      </c>
      <c r="C42" s="39" t="str">
        <f>Specifikace!C43</f>
        <v>NASTAVENÍ KOMUNIKACE</v>
      </c>
      <c r="D42" s="40" t="str">
        <f>Specifikace!D43</f>
        <v xml:space="preserve"> - </v>
      </c>
      <c r="E42" s="36"/>
      <c r="F42" s="32"/>
      <c r="G42" s="89" t="str">
        <f t="shared" si="0"/>
        <v/>
      </c>
      <c r="H42" s="32"/>
    </row>
    <row r="43" spans="1:8" x14ac:dyDescent="0.25">
      <c r="A43" s="37">
        <f>Specifikace!B44</f>
        <v>44</v>
      </c>
      <c r="B43" s="38" t="str">
        <f>Specifikace!E44</f>
        <v/>
      </c>
      <c r="C43" s="39" t="str">
        <f>Specifikace!C44</f>
        <v>Rozhraní</v>
      </c>
      <c r="D43" s="40">
        <f>Specifikace!D44</f>
        <v>0</v>
      </c>
      <c r="E43" s="36"/>
      <c r="F43" s="32"/>
      <c r="G43" s="89" t="str">
        <f t="shared" si="0"/>
        <v/>
      </c>
      <c r="H43" s="32"/>
    </row>
    <row r="44" spans="1:8" x14ac:dyDescent="0.25">
      <c r="A44" s="37">
        <f>Specifikace!B45</f>
        <v>45</v>
      </c>
      <c r="B44" s="38" t="str">
        <f>TEXT(Specifikace!E45,"000")</f>
        <v/>
      </c>
      <c r="C44" s="39" t="str">
        <f>Specifikace!C45</f>
        <v>Adresa - zapište z rozsahu 1 až 255</v>
      </c>
      <c r="D44" s="40">
        <f>Specifikace!D45</f>
        <v>0</v>
      </c>
      <c r="E44" s="36"/>
      <c r="F44" s="32"/>
      <c r="G44" s="89" t="str">
        <f t="shared" si="0"/>
        <v/>
      </c>
      <c r="H44" s="32"/>
    </row>
    <row r="45" spans="1:8" x14ac:dyDescent="0.25">
      <c r="A45" s="37">
        <f>Specifikace!B46</f>
        <v>46</v>
      </c>
      <c r="B45" s="38" t="str">
        <f>TEXT(Specifikace!E46,"000")</f>
        <v/>
      </c>
      <c r="C45" s="39" t="str">
        <f>Specifikace!C46</f>
        <v>Skupina - zapište z rozsahu 1 až 255</v>
      </c>
      <c r="D45" s="40">
        <f>Specifikace!D46</f>
        <v>0</v>
      </c>
      <c r="E45" s="36"/>
      <c r="F45" s="32"/>
      <c r="G45" s="89" t="str">
        <f t="shared" si="0"/>
        <v/>
      </c>
      <c r="H45" s="32"/>
    </row>
    <row r="46" spans="1:8" x14ac:dyDescent="0.25">
      <c r="A46" s="37">
        <f>Specifikace!B47</f>
        <v>47</v>
      </c>
      <c r="B46" s="38" t="str">
        <f>Specifikace!E47</f>
        <v/>
      </c>
      <c r="C46" s="39" t="str">
        <f>Specifikace!C47</f>
        <v>Rychlost přenosu</v>
      </c>
      <c r="D46" s="40">
        <f>Specifikace!D47</f>
        <v>0</v>
      </c>
      <c r="E46" s="36"/>
      <c r="F46" s="32"/>
      <c r="G46" s="89" t="str">
        <f t="shared" si="0"/>
        <v/>
      </c>
      <c r="H46" s="32"/>
    </row>
    <row r="47" spans="1:8" x14ac:dyDescent="0.25">
      <c r="A47" s="37">
        <f>Specifikace!B48</f>
        <v>48</v>
      </c>
      <c r="B47" s="38" t="str">
        <f>Specifikace!E48</f>
        <v/>
      </c>
      <c r="C47" s="39" t="str">
        <f>Specifikace!C48</f>
        <v>Parita</v>
      </c>
      <c r="D47" s="40">
        <f>Specifikace!D48</f>
        <v>0</v>
      </c>
      <c r="E47" s="36"/>
      <c r="F47" s="32"/>
      <c r="G47" s="89" t="str">
        <f t="shared" si="0"/>
        <v/>
      </c>
      <c r="H47" s="32"/>
    </row>
    <row r="48" spans="1:8" x14ac:dyDescent="0.25">
      <c r="A48" s="37" t="str">
        <f>Specifikace!B49</f>
        <v xml:space="preserve"> - </v>
      </c>
      <c r="B48" s="38" t="str">
        <f>Specifikace!E49</f>
        <v>-</v>
      </c>
      <c r="C48" s="39" t="str">
        <f>Specifikace!C49</f>
        <v>KALIBRACE</v>
      </c>
      <c r="D48" s="40" t="str">
        <f>Specifikace!D49</f>
        <v xml:space="preserve"> - </v>
      </c>
      <c r="E48" s="36"/>
      <c r="F48" s="32"/>
      <c r="G48" s="89" t="str">
        <f t="shared" si="0"/>
        <v/>
      </c>
      <c r="H48" s="32"/>
    </row>
    <row r="49" spans="1:8" x14ac:dyDescent="0.25">
      <c r="A49" s="37">
        <f>Specifikace!B50</f>
        <v>50</v>
      </c>
      <c r="B49" s="38" t="str">
        <f>Specifikace!E50</f>
        <v/>
      </c>
      <c r="C49" s="39" t="str">
        <f>Specifikace!C50</f>
        <v>Kalibrace</v>
      </c>
      <c r="D49" s="40">
        <f>Specifikace!D50</f>
        <v>0</v>
      </c>
      <c r="E49" s="36"/>
      <c r="F49" s="32"/>
      <c r="G49" s="89" t="str">
        <f t="shared" si="0"/>
        <v/>
      </c>
      <c r="H49" s="32"/>
    </row>
    <row r="50" spans="1:8" x14ac:dyDescent="0.25">
      <c r="A50" s="37" t="str">
        <f>Specifikace!B51</f>
        <v xml:space="preserve"> - </v>
      </c>
      <c r="B50" s="38" t="str">
        <f>Specifikace!E51</f>
        <v>-</v>
      </c>
      <c r="C50" s="39" t="str">
        <f>Specifikace!C51</f>
        <v>DALŠÍ OBCHODNÍ POŽADAVKY</v>
      </c>
      <c r="D50" s="40" t="str">
        <f>Specifikace!D51</f>
        <v xml:space="preserve"> - </v>
      </c>
      <c r="E50" s="36"/>
      <c r="F50" s="32"/>
      <c r="G50" s="89" t="str">
        <f t="shared" si="0"/>
        <v/>
      </c>
      <c r="H50" s="32"/>
    </row>
    <row r="51" spans="1:8" x14ac:dyDescent="0.25">
      <c r="A51" s="37">
        <f>Specifikace!B52</f>
        <v>52</v>
      </c>
      <c r="B51" s="38" t="str">
        <f>TEXT(Specifikace!E52,"000")</f>
        <v/>
      </c>
      <c r="C51" s="39" t="str">
        <f>Specifikace!C52</f>
        <v>Počet kusů</v>
      </c>
      <c r="D51" s="40">
        <f>Specifikace!D52</f>
        <v>0</v>
      </c>
      <c r="E51" s="36"/>
      <c r="F51" s="32"/>
      <c r="G51" s="89" t="str">
        <f t="shared" si="0"/>
        <v/>
      </c>
      <c r="H51" s="32"/>
    </row>
    <row r="52" spans="1:8" x14ac:dyDescent="0.25">
      <c r="A52" s="37">
        <f>Specifikace!B53</f>
        <v>53</v>
      </c>
      <c r="B52" s="38" t="str">
        <f>Specifikace!E53</f>
        <v/>
      </c>
      <c r="C52" s="39" t="str">
        <f>Specifikace!C53</f>
        <v>Balení</v>
      </c>
      <c r="D52" s="40">
        <f>Specifikace!D53</f>
        <v>0</v>
      </c>
      <c r="E52" s="36"/>
      <c r="F52" s="32"/>
      <c r="G52" s="89" t="str">
        <f t="shared" si="0"/>
        <v/>
      </c>
      <c r="H52" s="32"/>
    </row>
    <row r="53" spans="1:8" x14ac:dyDescent="0.25">
      <c r="A53" s="37">
        <f>Specifikace!B54</f>
        <v>54</v>
      </c>
      <c r="B53" s="38" t="str">
        <f>Specifikace!E54</f>
        <v/>
      </c>
      <c r="C53" s="39" t="str">
        <f>Specifikace!C54</f>
        <v>Způsob předání</v>
      </c>
      <c r="D53" s="40">
        <f>Specifikace!D54</f>
        <v>0</v>
      </c>
      <c r="E53" s="36"/>
      <c r="F53" s="32"/>
      <c r="G53" s="89" t="str">
        <f t="shared" si="0"/>
        <v/>
      </c>
      <c r="H53" s="32"/>
    </row>
    <row r="54" spans="1:8" x14ac:dyDescent="0.25">
      <c r="A54" s="37">
        <f>Specifikace!B55</f>
        <v>55</v>
      </c>
      <c r="B54" s="38" t="str">
        <f>Specifikace!E55</f>
        <v/>
      </c>
      <c r="C54" s="39" t="str">
        <f>Specifikace!C55</f>
        <v>Záruka</v>
      </c>
      <c r="D54" s="40">
        <f>Specifikace!D55</f>
        <v>0</v>
      </c>
      <c r="E54" s="36"/>
      <c r="F54" s="32"/>
      <c r="G54" s="89" t="str">
        <f t="shared" si="0"/>
        <v/>
      </c>
      <c r="H54" s="32"/>
    </row>
    <row r="55" spans="1:8" x14ac:dyDescent="0.25">
      <c r="A55" s="37" t="str">
        <f>Specifikace!B56</f>
        <v xml:space="preserve"> - </v>
      </c>
      <c r="B55" s="38" t="str">
        <f>Specifikace!E56</f>
        <v>-</v>
      </c>
      <c r="C55" s="39" t="str">
        <f>Specifikace!C56</f>
        <v>SOUVISÍCÍ PŘEDPISY</v>
      </c>
      <c r="D55" s="40" t="str">
        <f>Specifikace!D56</f>
        <v xml:space="preserve"> - </v>
      </c>
      <c r="G55" s="89" t="str">
        <f t="shared" si="0"/>
        <v/>
      </c>
    </row>
    <row r="56" spans="1:8" x14ac:dyDescent="0.25">
      <c r="A56" s="37">
        <f>Specifikace!B57</f>
        <v>57</v>
      </c>
      <c r="B56" s="38">
        <f>Specifikace!E57</f>
        <v>1</v>
      </c>
      <c r="C56" s="39" t="str">
        <f>Specifikace!C57</f>
        <v>Evidenční číslo manuálu průtokoměru</v>
      </c>
      <c r="D56" s="40" t="str">
        <f>Specifikace!D57</f>
        <v>Es90419K/c</v>
      </c>
      <c r="G56" s="90" t="str">
        <f t="shared" si="0"/>
        <v/>
      </c>
    </row>
  </sheetData>
  <sheetProtection algorithmName="SHA-512" hashValue="hywxjtKXdl7W0GlDdTX/bvKg2a6bLvCv0tC10ACSJN/f2su61unva/1EnKesQ8SrW+CmV12aSy2zsHU9Qws5IA==" saltValue="Oo4xu7QGju6gyrCv73dG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0"/>
  <sheetViews>
    <sheetView showGridLines="0" zoomScaleNormal="100" workbookViewId="0">
      <selection activeCell="F23" sqref="F23"/>
    </sheetView>
  </sheetViews>
  <sheetFormatPr defaultRowHeight="15" x14ac:dyDescent="0.25"/>
  <cols>
    <col min="1" max="1" width="1.5703125" customWidth="1"/>
    <col min="2" max="2" width="11.5703125" customWidth="1"/>
    <col min="3" max="6" width="17.28515625" customWidth="1"/>
    <col min="7" max="7" width="2.7109375" customWidth="1"/>
    <col min="8" max="8" width="14.140625" customWidth="1"/>
    <col min="9" max="12" width="17.28515625" customWidth="1"/>
  </cols>
  <sheetData>
    <row r="1" spans="2:12" ht="23.25" x14ac:dyDescent="0.35">
      <c r="B1" s="58" t="s">
        <v>226</v>
      </c>
    </row>
    <row r="2" spans="2:12" x14ac:dyDescent="0.25">
      <c r="B2" t="s">
        <v>228</v>
      </c>
    </row>
    <row r="4" spans="2:12" ht="16.5" thickBot="1" x14ac:dyDescent="0.3">
      <c r="B4" s="65" t="s">
        <v>229</v>
      </c>
      <c r="H4" s="65" t="s">
        <v>230</v>
      </c>
    </row>
    <row r="5" spans="2:12" ht="18.75" customHeight="1" x14ac:dyDescent="0.25">
      <c r="B5" s="240"/>
      <c r="C5" s="264" t="s">
        <v>227</v>
      </c>
      <c r="D5" s="265"/>
      <c r="E5" s="265"/>
      <c r="F5" s="266"/>
      <c r="H5" s="240"/>
      <c r="I5" s="264" t="s">
        <v>227</v>
      </c>
      <c r="J5" s="265"/>
      <c r="K5" s="265"/>
      <c r="L5" s="266"/>
    </row>
    <row r="6" spans="2:12" ht="15.75" customHeight="1" thickBot="1" x14ac:dyDescent="0.3">
      <c r="B6" s="241" t="s">
        <v>235</v>
      </c>
      <c r="C6" s="267" t="s">
        <v>313</v>
      </c>
      <c r="D6" s="268"/>
      <c r="E6" s="268"/>
      <c r="F6" s="269"/>
      <c r="H6" s="241" t="s">
        <v>235</v>
      </c>
      <c r="I6" s="267" t="s">
        <v>313</v>
      </c>
      <c r="J6" s="268"/>
      <c r="K6" s="268"/>
      <c r="L6" s="269"/>
    </row>
    <row r="7" spans="2:12" ht="30.75" customHeight="1" thickBot="1" x14ac:dyDescent="0.3">
      <c r="B7" s="242" t="s">
        <v>236</v>
      </c>
      <c r="C7" s="243" t="s">
        <v>234</v>
      </c>
      <c r="D7" s="243" t="s">
        <v>316</v>
      </c>
      <c r="E7" s="244" t="s">
        <v>317</v>
      </c>
      <c r="F7" s="244" t="s">
        <v>318</v>
      </c>
      <c r="H7" s="242" t="s">
        <v>236</v>
      </c>
      <c r="I7" s="243" t="s">
        <v>234</v>
      </c>
      <c r="J7" s="243" t="s">
        <v>316</v>
      </c>
      <c r="K7" s="244" t="s">
        <v>317</v>
      </c>
      <c r="L7" s="244" t="s">
        <v>318</v>
      </c>
    </row>
    <row r="8" spans="2:12" ht="18" customHeight="1" thickTop="1" thickBot="1" x14ac:dyDescent="0.3">
      <c r="B8" s="245" t="s">
        <v>217</v>
      </c>
      <c r="C8" s="61">
        <v>38.299999999999997</v>
      </c>
      <c r="D8" s="61">
        <v>36.700000000000003</v>
      </c>
      <c r="E8" s="151" t="s">
        <v>157</v>
      </c>
      <c r="F8" s="62">
        <v>35.200000000000003</v>
      </c>
      <c r="H8" s="245" t="s">
        <v>217</v>
      </c>
      <c r="I8" s="61">
        <v>37.799999999999997</v>
      </c>
      <c r="J8" s="61">
        <v>35.6</v>
      </c>
      <c r="K8" s="151" t="s">
        <v>157</v>
      </c>
      <c r="L8" s="62">
        <v>32.700000000000003</v>
      </c>
    </row>
    <row r="9" spans="2:12" ht="18" customHeight="1" thickBot="1" x14ac:dyDescent="0.3">
      <c r="B9" s="246" t="s">
        <v>218</v>
      </c>
      <c r="C9" s="63">
        <v>15.3</v>
      </c>
      <c r="D9" s="63">
        <v>14.6</v>
      </c>
      <c r="E9" s="152" t="s">
        <v>157</v>
      </c>
      <c r="F9" s="64">
        <v>14</v>
      </c>
      <c r="H9" s="246" t="s">
        <v>218</v>
      </c>
      <c r="I9" s="63">
        <v>15.1</v>
      </c>
      <c r="J9" s="63">
        <v>14.2</v>
      </c>
      <c r="K9" s="152" t="s">
        <v>157</v>
      </c>
      <c r="L9" s="64">
        <v>13.1</v>
      </c>
    </row>
    <row r="10" spans="2:12" ht="18" customHeight="1" thickBot="1" x14ac:dyDescent="0.3">
      <c r="B10" s="246" t="s">
        <v>219</v>
      </c>
      <c r="C10" s="63">
        <v>9.5</v>
      </c>
      <c r="D10" s="63">
        <v>9.1</v>
      </c>
      <c r="E10" s="64">
        <v>9</v>
      </c>
      <c r="F10" s="64">
        <v>8.8000000000000007</v>
      </c>
      <c r="H10" s="246" t="s">
        <v>219</v>
      </c>
      <c r="I10" s="63">
        <v>9.4</v>
      </c>
      <c r="J10" s="63">
        <v>8.8000000000000007</v>
      </c>
      <c r="K10" s="64">
        <v>8.6</v>
      </c>
      <c r="L10" s="64">
        <v>8.1</v>
      </c>
    </row>
    <row r="11" spans="2:12" ht="18" customHeight="1" thickBot="1" x14ac:dyDescent="0.3">
      <c r="B11" s="246" t="s">
        <v>220</v>
      </c>
      <c r="C11" s="63">
        <v>5.5</v>
      </c>
      <c r="D11" s="63">
        <v>5.4</v>
      </c>
      <c r="E11" s="64">
        <v>5.4</v>
      </c>
      <c r="F11" s="64">
        <v>5.2</v>
      </c>
      <c r="H11" s="246" t="s">
        <v>220</v>
      </c>
      <c r="I11" s="63">
        <v>5.6</v>
      </c>
      <c r="J11" s="63">
        <v>5.3</v>
      </c>
      <c r="K11" s="64">
        <v>5.2</v>
      </c>
      <c r="L11" s="64">
        <v>4.9000000000000004</v>
      </c>
    </row>
    <row r="13" spans="2:12" ht="16.5" thickBot="1" x14ac:dyDescent="0.3">
      <c r="B13" s="65" t="s">
        <v>231</v>
      </c>
      <c r="H13" s="65" t="s">
        <v>232</v>
      </c>
    </row>
    <row r="14" spans="2:12" ht="17.25" customHeight="1" x14ac:dyDescent="0.25">
      <c r="B14" s="247"/>
      <c r="C14" s="264" t="s">
        <v>227</v>
      </c>
      <c r="D14" s="265"/>
      <c r="E14" s="265"/>
      <c r="F14" s="266"/>
      <c r="H14" s="247"/>
      <c r="I14" s="264" t="s">
        <v>227</v>
      </c>
      <c r="J14" s="265"/>
      <c r="K14" s="265"/>
      <c r="L14" s="266"/>
    </row>
    <row r="15" spans="2:12" ht="15.75" customHeight="1" thickBot="1" x14ac:dyDescent="0.3">
      <c r="B15" s="241" t="s">
        <v>237</v>
      </c>
      <c r="C15" s="267" t="s">
        <v>313</v>
      </c>
      <c r="D15" s="268"/>
      <c r="E15" s="268"/>
      <c r="F15" s="269"/>
      <c r="H15" s="248" t="s">
        <v>225</v>
      </c>
      <c r="I15" s="267" t="s">
        <v>313</v>
      </c>
      <c r="J15" s="268"/>
      <c r="K15" s="268"/>
      <c r="L15" s="269"/>
    </row>
    <row r="16" spans="2:12" ht="30.75" customHeight="1" thickBot="1" x14ac:dyDescent="0.3">
      <c r="B16" s="242" t="s">
        <v>238</v>
      </c>
      <c r="C16" s="249" t="s">
        <v>234</v>
      </c>
      <c r="D16" s="250" t="s">
        <v>316</v>
      </c>
      <c r="E16" s="251" t="s">
        <v>317</v>
      </c>
      <c r="F16" s="251" t="s">
        <v>318</v>
      </c>
      <c r="H16" s="252" t="s">
        <v>222</v>
      </c>
      <c r="I16" s="249" t="s">
        <v>234</v>
      </c>
      <c r="J16" s="250" t="s">
        <v>316</v>
      </c>
      <c r="K16" s="251" t="s">
        <v>317</v>
      </c>
      <c r="L16" s="251" t="s">
        <v>318</v>
      </c>
    </row>
    <row r="17" spans="2:12" ht="18" customHeight="1" thickTop="1" thickBot="1" x14ac:dyDescent="0.3">
      <c r="B17" s="245" t="s">
        <v>221</v>
      </c>
      <c r="C17" s="63">
        <v>15.9</v>
      </c>
      <c r="D17" s="63">
        <v>15.9</v>
      </c>
      <c r="E17" s="64">
        <v>15.9</v>
      </c>
      <c r="F17" s="64">
        <v>15.8</v>
      </c>
      <c r="H17" s="245" t="s">
        <v>221</v>
      </c>
      <c r="I17" s="60">
        <v>14.1</v>
      </c>
      <c r="J17" s="60">
        <v>13</v>
      </c>
      <c r="K17" s="64">
        <v>12.8</v>
      </c>
      <c r="L17" s="64">
        <v>12</v>
      </c>
    </row>
    <row r="18" spans="2:12" ht="14.25" customHeight="1" x14ac:dyDescent="0.25"/>
    <row r="19" spans="2:12" ht="16.5" thickBot="1" x14ac:dyDescent="0.3">
      <c r="B19" s="65" t="s">
        <v>233</v>
      </c>
    </row>
    <row r="20" spans="2:12" ht="18.75" customHeight="1" x14ac:dyDescent="0.25">
      <c r="B20" s="240"/>
      <c r="C20" s="253" t="s">
        <v>227</v>
      </c>
      <c r="D20" s="254"/>
      <c r="E20" s="255"/>
    </row>
    <row r="21" spans="2:12" ht="15.75" customHeight="1" thickBot="1" x14ac:dyDescent="0.3">
      <c r="B21" s="241" t="s">
        <v>235</v>
      </c>
      <c r="C21" s="256" t="s">
        <v>313</v>
      </c>
      <c r="D21" s="257"/>
      <c r="E21" s="258"/>
    </row>
    <row r="22" spans="2:12" ht="30.75" customHeight="1" thickBot="1" x14ac:dyDescent="0.3">
      <c r="B22" s="242" t="s">
        <v>236</v>
      </c>
      <c r="C22" s="243" t="s">
        <v>234</v>
      </c>
      <c r="D22" s="243" t="s">
        <v>319</v>
      </c>
      <c r="E22" s="244" t="s">
        <v>318</v>
      </c>
    </row>
    <row r="23" spans="2:12" ht="18" customHeight="1" thickTop="1" thickBot="1" x14ac:dyDescent="0.3">
      <c r="B23" s="245" t="s">
        <v>217</v>
      </c>
      <c r="C23" s="59">
        <v>40</v>
      </c>
      <c r="D23" s="59">
        <v>40</v>
      </c>
      <c r="E23" s="62">
        <v>40</v>
      </c>
    </row>
    <row r="24" spans="2:12" ht="18" customHeight="1" thickBot="1" x14ac:dyDescent="0.3">
      <c r="B24" s="246" t="s">
        <v>218</v>
      </c>
      <c r="C24" s="60">
        <v>16</v>
      </c>
      <c r="D24" s="60">
        <v>16</v>
      </c>
      <c r="E24" s="64">
        <v>16</v>
      </c>
    </row>
    <row r="26" spans="2:12" x14ac:dyDescent="0.25">
      <c r="B26" s="147" t="s">
        <v>310</v>
      </c>
      <c r="C26" s="148"/>
      <c r="D26" s="149"/>
      <c r="E26" s="148"/>
      <c r="F26" s="148"/>
      <c r="G26" s="148"/>
    </row>
    <row r="27" spans="2:12" x14ac:dyDescent="0.25">
      <c r="B27" s="263" t="s">
        <v>311</v>
      </c>
      <c r="C27" s="263"/>
      <c r="D27" s="263"/>
      <c r="E27" s="263"/>
      <c r="F27" s="263"/>
      <c r="G27" s="148"/>
    </row>
    <row r="28" spans="2:12" x14ac:dyDescent="0.25">
      <c r="B28" s="263" t="s">
        <v>312</v>
      </c>
      <c r="C28" s="263"/>
      <c r="D28" s="148"/>
      <c r="E28" s="148"/>
      <c r="F28" s="148"/>
      <c r="G28" s="148"/>
    </row>
    <row r="29" spans="2:12" x14ac:dyDescent="0.25">
      <c r="B29" s="150" t="s">
        <v>314</v>
      </c>
    </row>
    <row r="30" spans="2:12" x14ac:dyDescent="0.25">
      <c r="B30" s="150" t="s">
        <v>315</v>
      </c>
    </row>
  </sheetData>
  <sheetProtection algorithmName="SHA-512" hashValue="nmLR53uqrRe/fj22NkKsbgFNCpMv2jlNAjQr//ed2siXtKJzdPwfujK/kweFloC4EfSIt9zj8vLHRXTDEA/pCQ==" saltValue="7+4HArVek5IYjcB0X9TJzA==" spinCount="100000" sheet="1" objects="1" scenarios="1" selectLockedCells="1"/>
  <mergeCells count="10">
    <mergeCell ref="B27:F27"/>
    <mergeCell ref="B28:C28"/>
    <mergeCell ref="C5:F5"/>
    <mergeCell ref="I5:L5"/>
    <mergeCell ref="C6:F6"/>
    <mergeCell ref="I6:L6"/>
    <mergeCell ref="C14:F14"/>
    <mergeCell ref="I14:L14"/>
    <mergeCell ref="C15:F15"/>
    <mergeCell ref="I15:L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6"/>
  <sheetViews>
    <sheetView showGridLines="0" zoomScaleNormal="100" workbookViewId="0">
      <pane ySplit="4" topLeftCell="A5" activePane="bottomLeft" state="frozen"/>
      <selection activeCell="A277" sqref="A277"/>
      <selection pane="bottomLeft" activeCell="A277" sqref="A277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8.28515625" style="1" customWidth="1"/>
    <col min="4" max="4" width="51.28515625" style="1" customWidth="1"/>
    <col min="5" max="5" width="9" style="3" bestFit="1" customWidth="1"/>
    <col min="6" max="6" width="1.140625" style="1" customWidth="1"/>
    <col min="7" max="7" width="2.140625" style="1" customWidth="1"/>
    <col min="8" max="8" width="48.5703125" style="1" customWidth="1"/>
    <col min="9" max="16384" width="9.140625" style="1"/>
  </cols>
  <sheetData>
    <row r="1" spans="1:7" ht="27" customHeight="1" x14ac:dyDescent="0.25">
      <c r="A1" s="29"/>
      <c r="B1" s="96" t="s">
        <v>288</v>
      </c>
      <c r="C1" s="97"/>
      <c r="D1" s="97"/>
      <c r="E1" s="78"/>
      <c r="F1" s="98"/>
    </row>
    <row r="2" spans="1:7" ht="4.5" customHeight="1" thickBot="1" x14ac:dyDescent="0.3">
      <c r="A2" s="29"/>
      <c r="B2" s="138"/>
      <c r="C2" s="139"/>
      <c r="D2" s="139"/>
      <c r="E2" s="41"/>
      <c r="F2" s="100"/>
    </row>
    <row r="3" spans="1:7" ht="18" customHeight="1" x14ac:dyDescent="0.25">
      <c r="A3" s="29"/>
      <c r="B3" s="99"/>
      <c r="C3" s="142" t="s">
        <v>289</v>
      </c>
      <c r="D3" s="143"/>
      <c r="E3" s="41"/>
      <c r="F3" s="100"/>
    </row>
    <row r="4" spans="1:7" ht="23.25" customHeight="1" thickBot="1" x14ac:dyDescent="0.3">
      <c r="A4" s="29"/>
      <c r="B4" s="99"/>
      <c r="C4" s="140"/>
      <c r="D4" s="141"/>
      <c r="E4" s="135"/>
      <c r="F4" s="100"/>
    </row>
    <row r="5" spans="1:7" ht="8.25" customHeight="1" thickBot="1" x14ac:dyDescent="0.3">
      <c r="A5" s="29"/>
      <c r="B5" s="99"/>
      <c r="C5" s="136"/>
      <c r="D5" s="137"/>
      <c r="E5" s="135"/>
      <c r="F5" s="43"/>
    </row>
    <row r="6" spans="1:7" ht="18.75" customHeight="1" thickBot="1" x14ac:dyDescent="0.3">
      <c r="A6" s="29"/>
      <c r="B6" s="101" t="s">
        <v>53</v>
      </c>
      <c r="C6" s="102" t="s">
        <v>6</v>
      </c>
      <c r="D6" s="103"/>
      <c r="E6" s="104" t="s">
        <v>40</v>
      </c>
      <c r="F6" s="105"/>
      <c r="G6" s="2"/>
    </row>
    <row r="7" spans="1:7" ht="20.100000000000001" customHeight="1" thickBot="1" x14ac:dyDescent="0.3">
      <c r="A7" s="29"/>
      <c r="B7" s="106">
        <v>5</v>
      </c>
      <c r="C7" s="107" t="s">
        <v>1</v>
      </c>
      <c r="D7" s="108" t="str">
        <f>IF(E7="1",Data!A2,IF(E7="2",Data!A3,IF(E7="X",Data!A4,"")))</f>
        <v/>
      </c>
      <c r="E7" s="41" t="str">
        <f>MID($C$4,5,1)</f>
        <v/>
      </c>
      <c r="F7" s="105"/>
      <c r="G7" s="2"/>
    </row>
    <row r="8" spans="1:7" ht="20.100000000000001" customHeight="1" thickBot="1" x14ac:dyDescent="0.3">
      <c r="A8" s="29"/>
      <c r="B8" s="106">
        <v>6</v>
      </c>
      <c r="C8" s="107" t="s">
        <v>46</v>
      </c>
      <c r="D8" s="109" t="str">
        <f>IF(E$8="0",Data!A6,IF(E$8="1",Data!A7,IF(E$8="4",Data!A8,IF(E$8="5",Data!A9,""))))</f>
        <v/>
      </c>
      <c r="E8" s="41" t="str">
        <f>MID($C$4,6,1)</f>
        <v/>
      </c>
      <c r="F8" s="105"/>
      <c r="G8" s="2"/>
    </row>
    <row r="9" spans="1:7" ht="16.5" thickBot="1" x14ac:dyDescent="0.3">
      <c r="A9" s="29"/>
      <c r="B9" s="110" t="s">
        <v>157</v>
      </c>
      <c r="C9" s="102" t="s">
        <v>2</v>
      </c>
      <c r="D9" s="111" t="s">
        <v>157</v>
      </c>
      <c r="E9" s="45" t="s">
        <v>0</v>
      </c>
      <c r="F9" s="105"/>
      <c r="G9" s="2"/>
    </row>
    <row r="10" spans="1:7" ht="18.75" customHeight="1" thickBot="1" x14ac:dyDescent="0.3">
      <c r="A10" s="29"/>
      <c r="B10" s="106">
        <v>8</v>
      </c>
      <c r="C10" s="107" t="s">
        <v>172</v>
      </c>
      <c r="D10" s="108" t="str">
        <f>IF(E$10="01",Data!A11,IF(E$10="02",Data!A12,IF(E$10="03",Data!A13,IF(E$10="04",Data!A14,IF(E$10="05",Data!A15,IF(E$10="06",Data!A16,IF(E$10="07",Data!A17,IF(E$10="08",Data!A18,IF(E$10="09",Data!A19,IF(E$10="10",Data!A20,IF(E$10="11",Data!A21,IF(E$10="12",Data!A22,IF(E$10="13",Data!A23,IF(E$10="14",Data!A24,IF(E$10="15",Data!A25,IF(E$10="16",Data!A26,IF(E$10="17",Data!A27,IF(E$10="18",Data!A28,IF(E$10="19",Data!A29,IF(E$10="20",Data!A30,IF(E$10="21",Data!A31,IF(E$10="22",Data!A32,IF(E$10="23",Data!A33,IF(E$10="24",Data!A34,IF(E$10="25",Data!A35,IF(E$10="26",Data!A36,IF(E$10="XX",Data!A37,"")))))))))))))))))))))))))))</f>
        <v/>
      </c>
      <c r="E10" s="41" t="str">
        <f>MID($C$4,10,2)</f>
        <v/>
      </c>
      <c r="F10" s="105"/>
      <c r="G10" s="2"/>
    </row>
    <row r="11" spans="1:7" ht="20.100000000000001" customHeight="1" thickBot="1" x14ac:dyDescent="0.3">
      <c r="A11" s="29"/>
      <c r="B11" s="106">
        <v>9</v>
      </c>
      <c r="C11" s="107" t="s">
        <v>45</v>
      </c>
      <c r="D11" s="112" t="str">
        <f>IF(E11="1",Data!A39,IF(E11="2",Data!A40,IF(E11="3",Data!A44,IF(E11="4",Data!#REF!,IF(E11="X",Data!A45,"")))))</f>
        <v/>
      </c>
      <c r="E11" s="41" t="str">
        <f>MID($C$4,12,1)</f>
        <v/>
      </c>
      <c r="F11" s="105"/>
      <c r="G11" s="2"/>
    </row>
    <row r="12" spans="1:7" ht="15.75" thickBot="1" x14ac:dyDescent="0.3">
      <c r="A12" s="29"/>
      <c r="B12" s="106">
        <v>10</v>
      </c>
      <c r="C12" s="107" t="s">
        <v>47</v>
      </c>
      <c r="D12" s="112" t="str">
        <f>IF(E12="1",Data!A47,IF(E12="2",Data!A48,IF(E12="3",Data!A49,IF(E12="X",Data!A50,""))))</f>
        <v/>
      </c>
      <c r="E12" s="41" t="str">
        <f>MID($C$4,13,1)</f>
        <v/>
      </c>
      <c r="F12" s="105"/>
      <c r="G12" s="2"/>
    </row>
    <row r="13" spans="1:7" ht="20.100000000000001" customHeight="1" thickBot="1" x14ac:dyDescent="0.3">
      <c r="A13" s="29"/>
      <c r="B13" s="106">
        <v>11</v>
      </c>
      <c r="C13" s="107" t="s">
        <v>174</v>
      </c>
      <c r="D13" s="112" t="str">
        <f>IF(E13="1",Data!A52,IF(E13="2",Data!A53,IF(E13="3",Data!A54,IF(E13="4",Data!A55,IF(E13="5",Data!A56,IF(E13="X",Data!A57,""))))))</f>
        <v/>
      </c>
      <c r="E13" s="41" t="str">
        <f>MID($C$4,14,1)</f>
        <v/>
      </c>
      <c r="F13" s="105"/>
      <c r="G13" s="2"/>
    </row>
    <row r="14" spans="1:7" ht="20.100000000000001" customHeight="1" thickBot="1" x14ac:dyDescent="0.3">
      <c r="A14" s="29"/>
      <c r="B14" s="106">
        <v>12</v>
      </c>
      <c r="C14" s="107" t="s">
        <v>224</v>
      </c>
      <c r="D14" s="113" t="str">
        <f>IF(E14="0",Data!A59,IF(E14="1",Data!A60,""))</f>
        <v/>
      </c>
      <c r="E14" s="41" t="str">
        <f>MID($C$4,15,1)</f>
        <v/>
      </c>
      <c r="F14" s="105"/>
      <c r="G14" s="2"/>
    </row>
    <row r="15" spans="1:7" ht="18.75" customHeight="1" thickBot="1" x14ac:dyDescent="0.3">
      <c r="A15" s="29"/>
      <c r="B15" s="106">
        <v>13</v>
      </c>
      <c r="C15" s="107" t="s">
        <v>43</v>
      </c>
      <c r="D15" s="112" t="str">
        <f>IF(E15="1",Data!A62,IF(E15="2",Data!A63,IF(E15="3",Data!A64,IF(E15="4",Data!A65,IF(E15="5",Data!A66,IF(E15="6",Data!A67,IF(E15="X",Data!A68,"")))))))</f>
        <v/>
      </c>
      <c r="E15" s="41" t="str">
        <f>MID($C$4,16,1)</f>
        <v/>
      </c>
      <c r="F15" s="105"/>
      <c r="G15" s="2"/>
    </row>
    <row r="16" spans="1:7" ht="20.100000000000001" customHeight="1" thickBot="1" x14ac:dyDescent="0.3">
      <c r="A16" s="29"/>
      <c r="B16" s="106">
        <v>14</v>
      </c>
      <c r="C16" s="107" t="s">
        <v>44</v>
      </c>
      <c r="D16" s="113" t="str">
        <f>IF(E16="1",Data!A70,IF(E16="2",Data!A72,""))</f>
        <v/>
      </c>
      <c r="E16" s="41" t="str">
        <f>MID($C$4,17,1)</f>
        <v/>
      </c>
      <c r="F16" s="105"/>
      <c r="G16" s="2"/>
    </row>
    <row r="17" spans="1:7" ht="23.25" customHeight="1" thickBot="1" x14ac:dyDescent="0.3">
      <c r="A17" s="29"/>
      <c r="B17" s="106">
        <v>15</v>
      </c>
      <c r="C17" s="107" t="s">
        <v>54</v>
      </c>
      <c r="D17" s="112" t="str">
        <f>IF(E17="1",Data!A74,IF(E17="2",Data!A75,IF(E17="3",Data!A76,IF(E17="4",Data!A77,IF(E17="5",Data!A78,IF(E17="X",Data!A79,""))))))</f>
        <v/>
      </c>
      <c r="E17" s="41" t="str">
        <f>MID($C$4,18,1)</f>
        <v/>
      </c>
      <c r="F17" s="105"/>
      <c r="G17" s="2"/>
    </row>
    <row r="18" spans="1:7" ht="20.100000000000001" customHeight="1" thickBot="1" x14ac:dyDescent="0.3">
      <c r="A18" s="29"/>
      <c r="B18" s="106">
        <v>16</v>
      </c>
      <c r="C18" s="107" t="s">
        <v>250</v>
      </c>
      <c r="D18" s="112" t="str">
        <f>IF(E18="1",Data!A81,IF(E18="2",Data!A82,IF(E18="3",Data!A83,IF(E18="4",Data!A84,IF(E18="5",Data!A85,IF(E18="6",Data!A86,IF(E18="7",Data!A87,IF(E18="8",Data!A88,IF(E18="X",Data!A89,"")))))))))</f>
        <v/>
      </c>
      <c r="E18" s="41" t="str">
        <f>MID($C$4,19,1)</f>
        <v/>
      </c>
      <c r="F18" s="105"/>
      <c r="G18" s="2"/>
    </row>
    <row r="19" spans="1:7" ht="20.100000000000001" customHeight="1" thickBot="1" x14ac:dyDescent="0.3">
      <c r="A19" s="29"/>
      <c r="B19" s="106">
        <v>17</v>
      </c>
      <c r="C19" s="107" t="s">
        <v>223</v>
      </c>
      <c r="D19" s="113" t="str">
        <f>IF(E19="1",Data!A91,IF(E19="X",Data!A92,""))</f>
        <v/>
      </c>
      <c r="E19" s="41" t="str">
        <f>MID($C$4,20,1)</f>
        <v/>
      </c>
      <c r="F19" s="105"/>
      <c r="G19" s="2"/>
    </row>
    <row r="20" spans="1:7" ht="20.100000000000001" customHeight="1" thickBot="1" x14ac:dyDescent="0.3">
      <c r="A20" s="29"/>
      <c r="B20" s="106">
        <v>18</v>
      </c>
      <c r="C20" s="107" t="s">
        <v>56</v>
      </c>
      <c r="D20" s="112" t="str">
        <f>IF(E20="1",Data!A94,IF(E20="2",Data!A95,IF(E20="3",Data!A96,IF(E20="4",Data!A97,IF(E20="X",Data!A98,"")))))</f>
        <v/>
      </c>
      <c r="E20" s="41" t="str">
        <f>MID($C$4,21,1)</f>
        <v/>
      </c>
      <c r="F20" s="105"/>
      <c r="G20" s="2"/>
    </row>
    <row r="21" spans="1:7" ht="20.100000000000001" customHeight="1" thickBot="1" x14ac:dyDescent="0.3">
      <c r="A21" s="29"/>
      <c r="B21" s="106">
        <v>19</v>
      </c>
      <c r="C21" s="107" t="s">
        <v>60</v>
      </c>
      <c r="D21" s="113" t="str">
        <f>IF(E21="0",Data!A103,IF(E21="1",Data!A104,""))</f>
        <v/>
      </c>
      <c r="E21" s="41" t="str">
        <f>MID($C$4,22,1)</f>
        <v/>
      </c>
      <c r="F21" s="105"/>
      <c r="G21" s="2"/>
    </row>
    <row r="22" spans="1:7" ht="15.75" thickBot="1" x14ac:dyDescent="0.3">
      <c r="A22" s="29"/>
      <c r="B22" s="106">
        <v>20</v>
      </c>
      <c r="C22" s="107" t="s">
        <v>199</v>
      </c>
      <c r="D22" s="112" t="str">
        <f>IF(E22="0",Data!A106,IF(E22="1",Data!A107,IF(E22="2",Data!A108,IF(E22="3",Data!A109,IF(E22="4",Data!A110,IF(E22="X",Data!A111,""))))))</f>
        <v/>
      </c>
      <c r="E22" s="41" t="str">
        <f>MID($C$4,23,1)</f>
        <v/>
      </c>
      <c r="F22" s="105"/>
      <c r="G22" s="2"/>
    </row>
    <row r="23" spans="1:7" ht="20.100000000000001" customHeight="1" thickBot="1" x14ac:dyDescent="0.3">
      <c r="A23" s="29"/>
      <c r="B23" s="114">
        <v>21</v>
      </c>
      <c r="C23" s="115" t="s">
        <v>201</v>
      </c>
      <c r="D23" s="112" t="str">
        <f>IF(E23="0",Data!A113,IF(E23="1",Data!A114,IF(E23="2",Data!A115,IF(E23="3",Data!A116,IF(E23="4",Data!A117,"")))))</f>
        <v/>
      </c>
      <c r="E23" s="41" t="str">
        <f>MID($C$4,24,1)</f>
        <v/>
      </c>
      <c r="F23" s="116"/>
      <c r="G23" s="2"/>
    </row>
    <row r="24" spans="1:7" ht="20.100000000000001" customHeight="1" thickBot="1" x14ac:dyDescent="0.3">
      <c r="A24" s="29"/>
      <c r="B24" s="106">
        <v>22</v>
      </c>
      <c r="C24" s="107" t="s">
        <v>200</v>
      </c>
      <c r="D24" s="117" t="str">
        <f>IF(E24="0","Popis neuveden",IF(E24="1","Popis uveden ve specifikační tabulce",""))</f>
        <v/>
      </c>
      <c r="E24" s="41" t="str">
        <f>MID($C$4,25,1)</f>
        <v/>
      </c>
      <c r="F24" s="118"/>
      <c r="G24" s="2"/>
    </row>
    <row r="25" spans="1:7" ht="20.100000000000001" customHeight="1" thickBot="1" x14ac:dyDescent="0.3">
      <c r="A25" s="29"/>
      <c r="B25" s="106">
        <v>23</v>
      </c>
      <c r="C25" s="107" t="s">
        <v>215</v>
      </c>
      <c r="D25" s="117" t="str">
        <f>IF(E25="0",Data!A121,IF(E25="1",Data!A122,IF(E25="2",Data!#REF!,"")))</f>
        <v/>
      </c>
      <c r="E25" s="41" t="str">
        <f>MID($C$4,26,1)</f>
        <v/>
      </c>
      <c r="F25" s="105"/>
      <c r="G25" s="2"/>
    </row>
    <row r="26" spans="1:7" ht="20.100000000000001" customHeight="1" thickBot="1" x14ac:dyDescent="0.3">
      <c r="A26" s="29"/>
      <c r="B26" s="106">
        <v>24</v>
      </c>
      <c r="C26" s="119" t="s">
        <v>202</v>
      </c>
      <c r="D26" s="112" t="str">
        <f>IF(E26="0",Data!A124,IF(E26="1",Data!#REF!,IF(E26="2",Data!A125,IF(E26="3",Data!A126,IF(E26="4",Data!A127,IF(E26="5",Data!A128,IF(E26="6",Data!A129,IF(E26="7",Data!A130,IF(E26="8",Data!A131,IF(E26="X",Data!A132,""))))))))))</f>
        <v/>
      </c>
      <c r="E26" s="41" t="str">
        <f>MID($C$4,27,1)</f>
        <v/>
      </c>
      <c r="F26" s="105"/>
      <c r="G26" s="2"/>
    </row>
    <row r="27" spans="1:7" ht="16.5" thickBot="1" x14ac:dyDescent="0.3">
      <c r="A27" s="29"/>
      <c r="B27" s="110" t="s">
        <v>157</v>
      </c>
      <c r="C27" s="102" t="s">
        <v>64</v>
      </c>
      <c r="D27" s="111" t="s">
        <v>157</v>
      </c>
      <c r="E27" s="45" t="s">
        <v>0</v>
      </c>
      <c r="F27" s="105"/>
      <c r="G27" s="2"/>
    </row>
    <row r="28" spans="1:7" ht="20.100000000000001" customHeight="1" thickBot="1" x14ac:dyDescent="0.3">
      <c r="A28" s="29"/>
      <c r="B28" s="106">
        <v>26</v>
      </c>
      <c r="C28" s="107" t="s">
        <v>65</v>
      </c>
      <c r="D28" s="113" t="str">
        <f>IF(E28="1",Data!A134,IF(E28="2",Data!A135,""))</f>
        <v/>
      </c>
      <c r="E28" s="41" t="str">
        <f>MID($C$4,29,1)</f>
        <v/>
      </c>
      <c r="F28" s="105"/>
      <c r="G28" s="2"/>
    </row>
    <row r="29" spans="1:7" ht="20.100000000000001" customHeight="1" thickBot="1" x14ac:dyDescent="0.3">
      <c r="A29" s="29"/>
      <c r="B29" s="106">
        <v>27</v>
      </c>
      <c r="C29" s="107" t="s">
        <v>69</v>
      </c>
      <c r="D29" s="113" t="str">
        <f>IF(E29="1",Data!A137,IF(E29="X",Data!A138,""))</f>
        <v/>
      </c>
      <c r="E29" s="41" t="str">
        <f>MID($C$4,30,1)</f>
        <v/>
      </c>
      <c r="F29" s="105"/>
      <c r="G29" s="2"/>
    </row>
    <row r="30" spans="1:7" ht="20.100000000000001" customHeight="1" thickBot="1" x14ac:dyDescent="0.3">
      <c r="A30" s="29"/>
      <c r="B30" s="106">
        <v>28</v>
      </c>
      <c r="C30" s="107" t="s">
        <v>70</v>
      </c>
      <c r="D30" s="113" t="str">
        <f>IF(E30="0",Data!A140,IF(E30="1",Data!A141,""))</f>
        <v/>
      </c>
      <c r="E30" s="41" t="str">
        <f>MID($C$4,31,1)</f>
        <v/>
      </c>
      <c r="F30" s="105"/>
      <c r="G30" s="2"/>
    </row>
    <row r="31" spans="1:7" ht="20.100000000000001" customHeight="1" thickBot="1" x14ac:dyDescent="0.3">
      <c r="A31" s="29"/>
      <c r="B31" s="106">
        <v>29</v>
      </c>
      <c r="C31" s="119" t="s">
        <v>281</v>
      </c>
      <c r="D31" s="112" t="str">
        <f>IF(E31="0",Data!A143,IF(E31="1",Data!A144,IF(E31="2",Data!A145,IF(E31="3",Data!A146,IF(E31="4",Data!A147,IF(E31="X",Data!A148,""))))))</f>
        <v/>
      </c>
      <c r="E31" s="41" t="str">
        <f>MID($C$4,32,1)</f>
        <v/>
      </c>
      <c r="F31" s="105"/>
      <c r="G31" s="2"/>
    </row>
    <row r="32" spans="1:7" ht="20.100000000000001" customHeight="1" thickBot="1" x14ac:dyDescent="0.3">
      <c r="A32" s="29"/>
      <c r="B32" s="106">
        <v>30</v>
      </c>
      <c r="C32" s="107" t="s">
        <v>71</v>
      </c>
      <c r="D32" s="112" t="str">
        <f>IF(E32="1",Data!A150,IF(E32="X",Data!A151,""))</f>
        <v/>
      </c>
      <c r="E32" s="41" t="str">
        <f>MID($C$4,33,1)</f>
        <v/>
      </c>
      <c r="F32" s="105"/>
      <c r="G32" s="2"/>
    </row>
    <row r="33" spans="1:7" ht="20.100000000000001" customHeight="1" thickBot="1" x14ac:dyDescent="0.3">
      <c r="A33" s="29"/>
      <c r="B33" s="106">
        <v>31</v>
      </c>
      <c r="C33" s="107" t="s">
        <v>240</v>
      </c>
      <c r="D33" s="112" t="str">
        <f>IF(E33="1",Data!A154,IF(E33="2",Data!A155,IF(E33="3",Data!A156,IF(E33="4",Data!A157,IF(E33="5",Data!A158,IF(E33="6",Data!A159,IF(E33="7",Data!A160,IF(E33="8",Data!A161,IF(E33="9",Data!A162,IF(E33="X",Data!A163,""))))))))))</f>
        <v/>
      </c>
      <c r="E33" s="41" t="str">
        <f>MID($C$4,34,1)</f>
        <v/>
      </c>
      <c r="F33" s="105"/>
      <c r="G33" s="2"/>
    </row>
    <row r="34" spans="1:7" ht="20.100000000000001" customHeight="1" thickBot="1" x14ac:dyDescent="0.3">
      <c r="A34" s="29"/>
      <c r="B34" s="106">
        <v>32</v>
      </c>
      <c r="C34" s="107" t="s">
        <v>239</v>
      </c>
      <c r="D34" s="112" t="str">
        <f>IF(E34="0",Data!A165,IF(E34="1",Data!A166,IF(E34="2",Data!A167,IF(E34="3",Data!A168,IF(E34="4",Data!A169,IF(E34="5",Data!A170,IF(E34="6",Data!A171,IF(E34="7",Data!A172,IF(E34="X",Data!A173,"")))))))))</f>
        <v/>
      </c>
      <c r="E34" s="41" t="str">
        <f>MID($C$4,35,1)</f>
        <v/>
      </c>
      <c r="F34" s="105"/>
      <c r="G34" s="2"/>
    </row>
    <row r="35" spans="1:7" ht="20.100000000000001" customHeight="1" thickBot="1" x14ac:dyDescent="0.3">
      <c r="A35" s="29"/>
      <c r="B35" s="106">
        <v>33</v>
      </c>
      <c r="C35" s="119" t="s">
        <v>241</v>
      </c>
      <c r="D35" s="112" t="str">
        <f>IF(E35="0",Data!A175,IF(E35="1",Data!A176,IF(E35="2",Data!A177,IF(E35="3",Data!A178,IF(E35="X",Data!A179,"")))))</f>
        <v/>
      </c>
      <c r="E35" s="41" t="str">
        <f>MID($C$4,36,1)</f>
        <v/>
      </c>
      <c r="F35" s="105"/>
      <c r="G35" s="2"/>
    </row>
    <row r="36" spans="1:7" ht="20.100000000000001" customHeight="1" thickBot="1" x14ac:dyDescent="0.3">
      <c r="A36" s="29"/>
      <c r="B36" s="106">
        <v>34</v>
      </c>
      <c r="C36" s="107" t="s">
        <v>79</v>
      </c>
      <c r="D36" s="112" t="str">
        <f>IF(E36="1",Data!A182,IF(E36="2",Data!A183,IF(E36="3",Data!A184,IF(E36="4",Data!A185,IF(E36="5",Data!A186,IF(E36="6",Data!A187,IF(E36="7",Data!A188,IF(E36="8",Data!A189,""))))))))</f>
        <v/>
      </c>
      <c r="E36" s="41" t="str">
        <f>MID($C$4,37,1)</f>
        <v/>
      </c>
      <c r="F36" s="105"/>
      <c r="G36" s="2"/>
    </row>
    <row r="37" spans="1:7" ht="20.100000000000001" customHeight="1" thickBot="1" x14ac:dyDescent="0.3">
      <c r="A37" s="29"/>
      <c r="B37" s="106">
        <v>35</v>
      </c>
      <c r="C37" s="107" t="s">
        <v>80</v>
      </c>
      <c r="D37" s="113" t="str">
        <f>IF(E37="0",Data!A191,IF(E37="1",Data!A192,""))</f>
        <v/>
      </c>
      <c r="E37" s="41" t="str">
        <f>MID($C$4,38,1)</f>
        <v/>
      </c>
      <c r="F37" s="105"/>
      <c r="G37" s="2"/>
    </row>
    <row r="38" spans="1:7" ht="20.100000000000001" customHeight="1" thickBot="1" x14ac:dyDescent="0.3">
      <c r="A38" s="29"/>
      <c r="B38" s="106">
        <v>36</v>
      </c>
      <c r="C38" s="107" t="s">
        <v>88</v>
      </c>
      <c r="D38" s="112" t="str">
        <f>IF(E38="0",Data!A194,IF(E38="1",Data!A195,IF(E38="2",Data!A196,IF(E38="3",Data!A197,IF(E38="4",Data!A198,IF(E38="5",Data!A199,IF(E38="6",Data!A200,IF(E38="7",Data!A201,IF(E38="8",Data!A202,IF(E38="X",Data!A203,""))))))))))</f>
        <v/>
      </c>
      <c r="E38" s="41" t="str">
        <f>MID($C$4,39,1)</f>
        <v/>
      </c>
      <c r="F38" s="105"/>
      <c r="G38" s="2"/>
    </row>
    <row r="39" spans="1:7" ht="15.75" thickBot="1" x14ac:dyDescent="0.3">
      <c r="A39" s="29"/>
      <c r="B39" s="106">
        <v>37</v>
      </c>
      <c r="C39" s="107" t="s">
        <v>94</v>
      </c>
      <c r="D39" s="113" t="str">
        <f>IF(E39="00",Data!A205,IF(E39="01",Data!A206,IF(E39="02",Data!A207,IF(E39="03",Data!A208,IF(E39="X4",Data!A209,IF(E39="05",Data!A210,IF(E39="06",Data!A211,IF(E39="07",Data!A212,IF(E39="X8",Data!A213,IF(E39="09",Data!A214,IF(E39="10",Data!A215,IF(E39="11",Data!A216,IF(E39="12",Data!A217,IF(E39="13",Data!A218,IF(E39="14",Data!A219,IF(E39="15",Data!A220,IF(E39="16",Data!A221,IF(E39="X7",Data!A222,IF(E39="18",Data!A223,IF(E39="19",Data!A224,""))))))))))))))))))))</f>
        <v/>
      </c>
      <c r="E39" s="41" t="str">
        <f>MID($C$4,40,2)</f>
        <v/>
      </c>
      <c r="F39" s="105"/>
      <c r="G39" s="2"/>
    </row>
    <row r="40" spans="1:7" ht="15.75" thickBot="1" x14ac:dyDescent="0.3">
      <c r="A40" s="29"/>
      <c r="B40" s="106">
        <v>38</v>
      </c>
      <c r="C40" s="107" t="s">
        <v>98</v>
      </c>
      <c r="D40" s="113" t="str">
        <f>IF(E40="00",Data!A226,IF(E40="01",Data!A227,IF(E40="02",Data!A228,IF(E40="03",Data!A229,IF(E40="X4",Data!A230,IF(E40="05",Data!A231,IF(E40="06",Data!A232,IF(E40="07",Data!A233,IF(E40="X8",Data!A234,IF(E40="09",Data!A235,IF(E40="10",Data!A236,IF(E40="11",Data!A237,IF(E40="12",Data!A238,IF(E40="13",Data!A239,IF(E40="14",Data!A240,IF(E40="15",Data!A241,IF(E40="16",Data!A242,IF(E40="X7",Data!A243,IF(E40="18",Data!A244,IF(E40="19",Data!A245,""))))))))))))))))))))</f>
        <v/>
      </c>
      <c r="E40" s="41" t="str">
        <f>MID($C$4,42,2)</f>
        <v/>
      </c>
      <c r="F40" s="120"/>
    </row>
    <row r="41" spans="1:7" ht="15.75" thickBot="1" x14ac:dyDescent="0.3">
      <c r="A41" s="29"/>
      <c r="B41" s="106">
        <v>39</v>
      </c>
      <c r="C41" s="107" t="s">
        <v>100</v>
      </c>
      <c r="D41" s="112" t="str">
        <f>IF(E41="0",Data!A247,IF(E41="X",Data!A248,""))</f>
        <v/>
      </c>
      <c r="E41" s="41" t="str">
        <f>MID($C$4,44,1)</f>
        <v/>
      </c>
      <c r="F41" s="120"/>
    </row>
    <row r="42" spans="1:7" ht="20.100000000000001" customHeight="1" thickBot="1" x14ac:dyDescent="0.3">
      <c r="A42" s="29"/>
      <c r="B42" s="106">
        <v>40</v>
      </c>
      <c r="C42" s="107" t="s">
        <v>116</v>
      </c>
      <c r="D42" s="112" t="str">
        <f>IF(E42="0",Data!A250,IF(E42="1",Data!A251,IF(E42="2",Data!A252,IF(E42="3",Data!A253,IF(E42="4",Data!A254,IF(E42="5",Data!A255,IF(E42="6",Data!A256,IF(E42="7",Data!A257,IF(E42="8",Data!A258,IF(E42="X",Data!A259,""))))))))))</f>
        <v/>
      </c>
      <c r="E42" s="41" t="str">
        <f>MID($C$4,45,1)</f>
        <v/>
      </c>
      <c r="F42" s="120"/>
    </row>
    <row r="43" spans="1:7" ht="20.100000000000001" customHeight="1" thickBot="1" x14ac:dyDescent="0.3">
      <c r="A43" s="29"/>
      <c r="B43" s="106">
        <v>41</v>
      </c>
      <c r="C43" s="107" t="s">
        <v>140</v>
      </c>
      <c r="D43" s="112" t="str">
        <f>IF(E43="1",Data!A261,IF(E43="2",Data!A262,IF(E43="3",Data!A263,IF(E43="4",Data!A264,IF(E43="X",Data!A265,"")))))</f>
        <v/>
      </c>
      <c r="E43" s="41" t="str">
        <f>MID($C$4,46,1)</f>
        <v/>
      </c>
      <c r="F43" s="120"/>
    </row>
    <row r="44" spans="1:7" ht="16.5" thickBot="1" x14ac:dyDescent="0.3">
      <c r="A44" s="29"/>
      <c r="B44" s="110" t="s">
        <v>157</v>
      </c>
      <c r="C44" s="102" t="s">
        <v>158</v>
      </c>
      <c r="D44" s="111" t="s">
        <v>157</v>
      </c>
      <c r="E44" s="45" t="s">
        <v>0</v>
      </c>
      <c r="F44" s="105"/>
    </row>
    <row r="45" spans="1:7" ht="20.100000000000001" customHeight="1" thickBot="1" x14ac:dyDescent="0.3">
      <c r="A45" s="29"/>
      <c r="B45" s="106">
        <v>43</v>
      </c>
      <c r="C45" s="107" t="s">
        <v>128</v>
      </c>
      <c r="D45" s="112" t="str">
        <f>IF(E45="0",Data!A267,IF(E45="1",Data!A268,""))</f>
        <v/>
      </c>
      <c r="E45" s="41" t="str">
        <f>MID($C$4,48,1)</f>
        <v/>
      </c>
      <c r="F45" s="120"/>
    </row>
    <row r="46" spans="1:7" ht="20.100000000000001" customHeight="1" thickBot="1" x14ac:dyDescent="0.3">
      <c r="A46" s="29"/>
      <c r="B46" s="106">
        <v>44</v>
      </c>
      <c r="C46" s="119" t="s">
        <v>208</v>
      </c>
      <c r="D46" s="117" t="str">
        <f>IF(E46="000","Adresa neuvedena (komunikace není požadována)",IF(E46&gt;0,E46,""))</f>
        <v/>
      </c>
      <c r="E46" s="41" t="str">
        <f>MID($C$4,49,3)</f>
        <v/>
      </c>
      <c r="F46" s="120"/>
    </row>
    <row r="47" spans="1:7" ht="20.100000000000001" customHeight="1" thickBot="1" x14ac:dyDescent="0.3">
      <c r="A47" s="29"/>
      <c r="B47" s="106">
        <v>45</v>
      </c>
      <c r="C47" s="119" t="s">
        <v>209</v>
      </c>
      <c r="D47" s="117" t="str">
        <f>IF(E47="000","Skupina neuvedena (komunikace není požadována)",IF(E47&gt;0,E47,""))</f>
        <v/>
      </c>
      <c r="E47" s="41" t="str">
        <f>MID($C$4,52,3)</f>
        <v/>
      </c>
      <c r="F47" s="120"/>
    </row>
    <row r="48" spans="1:7" ht="20.100000000000001" customHeight="1" thickBot="1" x14ac:dyDescent="0.3">
      <c r="A48" s="29"/>
      <c r="B48" s="106">
        <v>46</v>
      </c>
      <c r="C48" s="119" t="s">
        <v>141</v>
      </c>
      <c r="D48" s="112" t="str">
        <f>IF(E48="0","Rychlost neuvedena (komunikace není požadována)",IF(E48="1",Data!A275,IF(E48="2",Data!A276,IF(E48="3",Data!A277,IF(E48="4",Data!A278,IF(E48="5",Data!A279,IF(E48="6",Data!A280,"")))))))</f>
        <v/>
      </c>
      <c r="E48" s="41" t="str">
        <f>MID($C$4,55,1)</f>
        <v/>
      </c>
      <c r="F48" s="120"/>
    </row>
    <row r="49" spans="1:6" ht="20.100000000000001" customHeight="1" thickBot="1" x14ac:dyDescent="0.3">
      <c r="A49" s="29"/>
      <c r="B49" s="106">
        <v>47</v>
      </c>
      <c r="C49" s="119" t="s">
        <v>129</v>
      </c>
      <c r="D49" s="112" t="str">
        <f>IF(E49="0",Data!A282,IF(E49="1",Data!A283,IF(E49="2",Data!A284,IF(E49="3",Data!A285,IF(E49="4",Data!A286,IF(E49="5",Data!A287,""))))))</f>
        <v/>
      </c>
      <c r="E49" s="41" t="str">
        <f>MID($C$4,56,1)</f>
        <v/>
      </c>
      <c r="F49" s="120"/>
    </row>
    <row r="50" spans="1:6" ht="16.5" thickBot="1" x14ac:dyDescent="0.3">
      <c r="A50" s="29"/>
      <c r="B50" s="110" t="s">
        <v>157</v>
      </c>
      <c r="C50" s="102" t="s">
        <v>160</v>
      </c>
      <c r="D50" s="111" t="s">
        <v>157</v>
      </c>
      <c r="E50" s="45" t="s">
        <v>0</v>
      </c>
      <c r="F50" s="105"/>
    </row>
    <row r="51" spans="1:6" ht="26.45" customHeight="1" thickBot="1" x14ac:dyDescent="0.3">
      <c r="A51" s="29"/>
      <c r="B51" s="106">
        <v>49</v>
      </c>
      <c r="C51" s="107" t="s">
        <v>142</v>
      </c>
      <c r="D51" s="112" t="str">
        <f>IF(E51="0",Data!A289,IF(E51="1",Data!A290,IF(E51="8",Data!A291,IF(E51="9",Data!A292,IF(E51="X",Data!A293,"")))))</f>
        <v/>
      </c>
      <c r="E51" s="41" t="str">
        <f>MID($C$4,58,1)</f>
        <v/>
      </c>
      <c r="F51" s="120"/>
    </row>
    <row r="52" spans="1:6" ht="16.5" thickBot="1" x14ac:dyDescent="0.3">
      <c r="A52" s="29"/>
      <c r="B52" s="110" t="s">
        <v>157</v>
      </c>
      <c r="C52" s="102" t="s">
        <v>145</v>
      </c>
      <c r="D52" s="111" t="s">
        <v>157</v>
      </c>
      <c r="E52" s="45" t="s">
        <v>0</v>
      </c>
      <c r="F52" s="105"/>
    </row>
    <row r="53" spans="1:6" ht="20.100000000000001" customHeight="1" thickBot="1" x14ac:dyDescent="0.3">
      <c r="A53" s="29"/>
      <c r="B53" s="106">
        <v>51</v>
      </c>
      <c r="C53" s="107" t="s">
        <v>249</v>
      </c>
      <c r="D53" s="117" t="str">
        <f>IF(E53="000","0",IF(E53&gt;0,E53,""))</f>
        <v/>
      </c>
      <c r="E53" s="41" t="str">
        <f>MID($C$4,60,3)</f>
        <v/>
      </c>
      <c r="F53" s="120"/>
    </row>
    <row r="54" spans="1:6" ht="20.100000000000001" customHeight="1" thickBot="1" x14ac:dyDescent="0.3">
      <c r="A54" s="29"/>
      <c r="B54" s="106">
        <v>52</v>
      </c>
      <c r="C54" s="107" t="s">
        <v>146</v>
      </c>
      <c r="D54" s="117" t="str">
        <f>IF(E54="0",Data!A297,IF(E54="1",Data!A298,IF(E54="X",Data!A299,"")))</f>
        <v/>
      </c>
      <c r="E54" s="41" t="str">
        <f>MID($C$4,63,1)</f>
        <v/>
      </c>
      <c r="F54" s="120"/>
    </row>
    <row r="55" spans="1:6" ht="20.100000000000001" customHeight="1" thickBot="1" x14ac:dyDescent="0.3">
      <c r="A55" s="29"/>
      <c r="B55" s="106">
        <v>53</v>
      </c>
      <c r="C55" s="107" t="s">
        <v>147</v>
      </c>
      <c r="D55" s="112" t="str">
        <f>IF(E55="1",Data!A301,IF(E55="2",Data!A302,IF(E55="3",Data!A303,IF(E55="X",Data!A304,""))))</f>
        <v/>
      </c>
      <c r="E55" s="41" t="str">
        <f>MID($C$4,64,1)</f>
        <v/>
      </c>
      <c r="F55" s="120"/>
    </row>
    <row r="56" spans="1:6" ht="20.100000000000001" customHeight="1" thickBot="1" x14ac:dyDescent="0.3">
      <c r="A56" s="29"/>
      <c r="B56" s="106">
        <v>54</v>
      </c>
      <c r="C56" s="107" t="s">
        <v>148</v>
      </c>
      <c r="D56" s="112" t="str">
        <f>IF(E56="1",Data!A306,IF(E56="2",Data!A307,IF(E56="3",Data!A308,IF(E56="4",Data!A309,IF(E56="5",Data!A310,IF(E56="X",Data!A311,""))))))</f>
        <v/>
      </c>
      <c r="E56" s="41" t="str">
        <f>MID($C$4,65,1)</f>
        <v/>
      </c>
      <c r="F56" s="120"/>
    </row>
    <row r="57" spans="1:6" ht="16.5" thickBot="1" x14ac:dyDescent="0.3">
      <c r="A57" s="29"/>
      <c r="B57" s="110" t="s">
        <v>157</v>
      </c>
      <c r="C57" s="102" t="s">
        <v>161</v>
      </c>
      <c r="D57" s="111" t="s">
        <v>157</v>
      </c>
      <c r="E57" s="45" t="s">
        <v>0</v>
      </c>
      <c r="F57" s="105"/>
    </row>
    <row r="58" spans="1:6" ht="15.75" thickBot="1" x14ac:dyDescent="0.3">
      <c r="A58" s="29"/>
      <c r="B58" s="121">
        <v>56</v>
      </c>
      <c r="C58" s="122" t="s">
        <v>210</v>
      </c>
      <c r="D58" s="145" t="s">
        <v>260</v>
      </c>
      <c r="E58" s="146" t="str">
        <f>MID($C$4,67,1)</f>
        <v/>
      </c>
      <c r="F58" s="123"/>
    </row>
    <row r="59" spans="1:6" ht="9.75" customHeight="1" x14ac:dyDescent="0.25">
      <c r="A59" s="29"/>
      <c r="B59" s="29"/>
      <c r="C59" s="29"/>
      <c r="D59" s="29"/>
      <c r="E59" s="42"/>
      <c r="F59" s="29"/>
    </row>
    <row r="60" spans="1:6" ht="9.75" customHeight="1" thickBot="1" x14ac:dyDescent="0.3">
      <c r="A60" s="29"/>
      <c r="B60" s="29"/>
      <c r="C60" s="29"/>
      <c r="D60" s="29"/>
      <c r="E60" s="42"/>
      <c r="F60" s="124"/>
    </row>
    <row r="61" spans="1:6" ht="23.25" customHeight="1" x14ac:dyDescent="0.25">
      <c r="A61" s="29"/>
      <c r="B61" s="125"/>
      <c r="C61" s="126" t="s">
        <v>283</v>
      </c>
      <c r="D61" s="127"/>
      <c r="E61" s="77"/>
      <c r="F61" s="128"/>
    </row>
    <row r="62" spans="1:6" ht="69.75" customHeight="1" x14ac:dyDescent="0.25">
      <c r="A62" s="29"/>
      <c r="B62" s="129"/>
      <c r="C62" s="260"/>
      <c r="D62" s="260"/>
      <c r="E62" s="78"/>
      <c r="F62" s="130"/>
    </row>
    <row r="63" spans="1:6" ht="8.25" customHeight="1" thickBot="1" x14ac:dyDescent="0.3">
      <c r="A63" s="29"/>
      <c r="B63" s="129"/>
      <c r="C63" s="82"/>
      <c r="D63" s="82"/>
      <c r="E63" s="78"/>
      <c r="F63" s="130"/>
    </row>
    <row r="64" spans="1:6" ht="17.45" customHeight="1" thickBot="1" x14ac:dyDescent="0.3">
      <c r="A64" s="29"/>
      <c r="B64" s="131"/>
      <c r="C64" s="132" t="s">
        <v>286</v>
      </c>
      <c r="D64" s="69"/>
      <c r="E64" s="78"/>
      <c r="F64" s="130"/>
    </row>
    <row r="65" spans="1:6" ht="17.45" customHeight="1" x14ac:dyDescent="0.25">
      <c r="A65" s="29"/>
      <c r="B65" s="131"/>
      <c r="C65" s="132" t="s">
        <v>287</v>
      </c>
      <c r="D65" s="44"/>
      <c r="E65" s="78"/>
      <c r="F65" s="130"/>
    </row>
    <row r="66" spans="1:6" ht="15.75" thickBot="1" x14ac:dyDescent="0.3">
      <c r="A66" s="29"/>
      <c r="B66" s="133"/>
      <c r="C66" s="83"/>
      <c r="D66" s="83"/>
      <c r="E66" s="79"/>
      <c r="F66" s="134"/>
    </row>
  </sheetData>
  <sheetProtection algorithmName="SHA-512" hashValue="27BtfZmKyNFqPL0TkFzk9DUAb3cYOBqmUQVc///WU/bpQFlPI2Dk/V0pLKV6fwuDm2oWwChly8Odwe7561U1rg==" saltValue="vJ8Z+vjvQ/SBla5RAe3Dtw==" spinCount="100000" sheet="1" formatRows="0"/>
  <mergeCells count="1">
    <mergeCell ref="C62:D62"/>
  </mergeCells>
  <pageMargins left="0.62992125984251968" right="0.23622047244094491" top="0.74803149606299213" bottom="0.74803149606299213" header="0.31496062992125984" footer="0.31496062992125984"/>
  <pageSetup paperSize="9" scale="97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58</vt:i4>
      </vt:variant>
    </vt:vector>
  </HeadingPairs>
  <TitlesOfParts>
    <vt:vector size="63" baseType="lpstr">
      <vt:lpstr>Specifikace</vt:lpstr>
      <vt:lpstr>Data</vt:lpstr>
      <vt:lpstr>Tech</vt:lpstr>
      <vt:lpstr>PS max</vt:lpstr>
      <vt:lpstr>Dekod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NezadanHW</vt:lpstr>
      <vt:lpstr>Nezadano</vt:lpstr>
      <vt:lpstr>Dekod!Oblast_tisku</vt:lpstr>
      <vt:lpstr>Specifikace!Oblast_tisku</vt:lpstr>
      <vt:lpstr>OC_ACH</vt:lpstr>
      <vt:lpstr>OC_B</vt:lpstr>
      <vt:lpstr>OC_CE</vt:lpstr>
      <vt:lpstr>OC_D</vt:lpstr>
      <vt:lpstr>OC_DC</vt:lpstr>
      <vt:lpstr>OC_DK</vt:lpstr>
      <vt:lpstr>OC_DM</vt:lpstr>
      <vt:lpstr>OC_DTdPED</vt:lpstr>
      <vt:lpstr>OC_FR</vt:lpstr>
      <vt:lpstr>OC_FVOUT1</vt:lpstr>
      <vt:lpstr>OC_FVOUT2</vt:lpstr>
      <vt:lpstr>OC_IC</vt:lpstr>
      <vt:lpstr>OC_INP</vt:lpstr>
      <vt:lpstr>OC_JIC</vt:lpstr>
      <vt:lpstr>OC_JT</vt:lpstr>
      <vt:lpstr>OC_JZP</vt:lpstr>
      <vt:lpstr>OC_K</vt:lpstr>
      <vt:lpstr>OC_KC</vt:lpstr>
      <vt:lpstr>OC_KdPED</vt:lpstr>
      <vt:lpstr>OC_KSE</vt:lpstr>
      <vt:lpstr>OC_MaPUC</vt:lpstr>
      <vt:lpstr>OC_MDT</vt:lpstr>
      <vt:lpstr>OC_ME</vt:lpstr>
      <vt:lpstr>OC_MPTM</vt:lpstr>
      <vt:lpstr>OC_N</vt:lpstr>
      <vt:lpstr>OC_NM</vt:lpstr>
      <vt:lpstr>OC_P</vt:lpstr>
      <vt:lpstr>OC_PC</vt:lpstr>
      <vt:lpstr>OC_PMC</vt:lpstr>
      <vt:lpstr>OC_PV_PpIQ</vt:lpstr>
      <vt:lpstr>OC_PVpP</vt:lpstr>
      <vt:lpstr>OC_R</vt:lpstr>
      <vt:lpstr>OC_RP</vt:lpstr>
      <vt:lpstr>OC_VaPP</vt:lpstr>
      <vt:lpstr>OC_VC</vt:lpstr>
      <vt:lpstr>OC_VD</vt:lpstr>
      <vt:lpstr>OC_VPvNM</vt:lpstr>
      <vt:lpstr>OC_Z</vt:lpstr>
      <vt:lpstr>OC_ZE</vt:lpstr>
      <vt:lpstr>OC_ZJ</vt:lpstr>
      <vt:lpstr>OC_ZK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2019-10-08T08:36:39Z</cp:lastPrinted>
  <dcterms:created xsi:type="dcterms:W3CDTF">2019-05-29T08:44:12Z</dcterms:created>
  <dcterms:modified xsi:type="dcterms:W3CDTF">2024-07-18T08:57:35Z</dcterms:modified>
</cp:coreProperties>
</file>