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.ELISFLOW\Documents\_ROZPRAC\_SpecTab\Hotové\"/>
    </mc:Choice>
  </mc:AlternateContent>
  <xr:revisionPtr revIDLastSave="0" documentId="13_ncr:1_{E4315E13-C776-4832-B93B-592871F5329A}" xr6:coauthVersionLast="47" xr6:coauthVersionMax="47" xr10:uidLastSave="{00000000-0000-0000-0000-000000000000}"/>
  <workbookProtection workbookAlgorithmName="SHA-512" workbookHashValue="38wSWNAPoIKINOjU0Nyhtd3fJDRAawtC6h8965akAw8+QWXX5F6dt1ZvZzGRcTDO90aUFjxYShCtaeiJfdWeAQ==" workbookSaltValue="MFUe6t7PLWy7qywFe6gWAg==" workbookSpinCount="100000" lockStructure="1"/>
  <bookViews>
    <workbookView xWindow="-120" yWindow="-120" windowWidth="29040" windowHeight="15840" xr2:uid="{00000000-000D-0000-FFFF-FFFF00000000}"/>
  </bookViews>
  <sheets>
    <sheet name="Specification" sheetId="1" r:id="rId1"/>
    <sheet name="Data" sheetId="2" state="hidden" r:id="rId2"/>
    <sheet name="Tech" sheetId="3" state="hidden" r:id="rId3"/>
    <sheet name="PS max" sheetId="6" r:id="rId4"/>
  </sheets>
  <definedNames>
    <definedName name="gal_m3">Data!$D$8</definedName>
    <definedName name="Hodnoty">Specification!$D$5:$D$57</definedName>
    <definedName name="HodnotyHW">Specification!$D$5:$D$22</definedName>
    <definedName name="KodyOC">Specification!$E$5:$E$57</definedName>
    <definedName name="KodyOC_HW">Specification!$E$5:$E$22</definedName>
    <definedName name="NezadanHW">Tech!$F$2</definedName>
    <definedName name="Nezadano">Tech!$F$1</definedName>
    <definedName name="_xlnm.Print_Area" localSheetId="0">Specification!$B$1:$E$74</definedName>
    <definedName name="OC_ACH">Data!$A$191:$A$192</definedName>
    <definedName name="OC_B">Data!$A$297:$A$299</definedName>
    <definedName name="OC_CE">Data!$A$250:$A$259</definedName>
    <definedName name="OC_D">Data!$A$140:$A$141</definedName>
    <definedName name="OC_DC">Data!$A$11:$A$37</definedName>
    <definedName name="OC_DK">Data!$A$125:$A$132</definedName>
    <definedName name="OC_DM">Data!$A$134:$A$135</definedName>
    <definedName name="OC_DTdPED">Data!$A$106:$A$111</definedName>
    <definedName name="OC_FR">Data!$A$247:$A$248</definedName>
    <definedName name="OC_FVOUT1">Data!$A$205:$A$224</definedName>
    <definedName name="OC_FVOUT2">Data!$A$226:$A$245</definedName>
    <definedName name="OC_IC">Data!$A$165:$A$173</definedName>
    <definedName name="OC_INP">Data!$A$103:$A$104</definedName>
    <definedName name="OC_JIC">Data!$A$176:$A$179</definedName>
    <definedName name="OC_JT">Data!$A$74:$A$79</definedName>
    <definedName name="OC_JZP">Data!$A$154:$A$163</definedName>
    <definedName name="OC_K">Data!$A$289:$A$293</definedName>
    <definedName name="OC_KC">Data!$A$70:$A$72</definedName>
    <definedName name="OC_KdPED">Data!$A$114:$A$117</definedName>
    <definedName name="OC_KSE">Data!$A$100:$A$101</definedName>
    <definedName name="OC_MaPUC">Data!$A$47:$A$50</definedName>
    <definedName name="OC_MDT">Data!$A$91:$A$92</definedName>
    <definedName name="OC_ME">Data!$A$52:$A$57</definedName>
    <definedName name="OC_MPTM">Data!$A$81:$A$89</definedName>
    <definedName name="OC_N">Data!$A$94:$A$98</definedName>
    <definedName name="OC_NM">Data!$A$137:$A$138</definedName>
    <definedName name="OC_P">Data!$A$283:$A$287</definedName>
    <definedName name="OC_PC">Data!$A$39:$A$45</definedName>
    <definedName name="OC_PMC">Data!$A$2:$A$4</definedName>
    <definedName name="OC_PV_PpIQ">Data!$A$194:$A$203</definedName>
    <definedName name="OC_PVpP">Data!$A$150:$A$151</definedName>
    <definedName name="OC_R">Data!$A$267:$A$268</definedName>
    <definedName name="OC_RP">Data!$A$275:$A$280</definedName>
    <definedName name="OC_VaPP">Data!$A$6:$A$9</definedName>
    <definedName name="OC_VC">Data!$A$62:$A$68</definedName>
    <definedName name="OC_VD">Data!$A$144:$A$148</definedName>
    <definedName name="OC_VPvNM">Data!$A$182:$A$189</definedName>
    <definedName name="OC_Z">Data!$A$306:$A$311</definedName>
    <definedName name="OC_ZE">Data!$A$59:$A$60</definedName>
    <definedName name="OC_ZJ">Data!$A$261:$A$265</definedName>
    <definedName name="OC_ZK">Data!$A$121:$A$122</definedName>
    <definedName name="OC_ZP">Data!$A$301:$A$304</definedName>
    <definedName name="Parametry">Specification!$B$4:$C$58</definedName>
    <definedName name="Preddef_hodn">Data!$A$1:$B$311</definedName>
    <definedName name="SoupisNP">Tech!$H$1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E9" i="1" l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11" i="2"/>
  <c r="E11" i="2" s="1"/>
  <c r="E19" i="1" l="1"/>
  <c r="E24" i="1" l="1"/>
  <c r="E38" i="1"/>
  <c r="H22" i="1"/>
  <c r="D32" i="3" l="1"/>
  <c r="D33" i="3"/>
  <c r="D34" i="3"/>
  <c r="A31" i="3"/>
  <c r="A32" i="3"/>
  <c r="A33" i="3"/>
  <c r="A34" i="3"/>
  <c r="C33" i="3"/>
  <c r="C32" i="3"/>
  <c r="E23" i="1"/>
  <c r="E15" i="1" l="1"/>
  <c r="E50" i="1" l="1"/>
  <c r="H50" i="1" s="1"/>
  <c r="E53" i="1" l="1"/>
  <c r="E40" i="1"/>
  <c r="E33" i="1"/>
  <c r="E31" i="1"/>
  <c r="B32" i="3" l="1"/>
  <c r="H34" i="1"/>
  <c r="E16" i="1"/>
  <c r="E8" i="1" l="1"/>
  <c r="H9" i="1" s="1"/>
  <c r="E6" i="1"/>
  <c r="G14" i="1" s="1"/>
  <c r="E5" i="1"/>
  <c r="G9" i="1" s="1"/>
  <c r="E52" i="1"/>
  <c r="H15" i="1" l="1"/>
  <c r="H36" i="1"/>
  <c r="H29" i="1"/>
  <c r="H32" i="1"/>
  <c r="H35" i="1"/>
  <c r="E36" i="1"/>
  <c r="E35" i="1"/>
  <c r="E32" i="1"/>
  <c r="E29" i="1"/>
  <c r="E25" i="1"/>
  <c r="C9" i="1"/>
  <c r="H8" i="1"/>
  <c r="G8" i="1"/>
  <c r="G20" i="1"/>
  <c r="G15" i="1"/>
  <c r="G16" i="1"/>
  <c r="G13" i="1"/>
  <c r="B51" i="3"/>
  <c r="G51" i="3" s="1"/>
  <c r="H30" i="1" l="1"/>
  <c r="E30" i="1"/>
  <c r="E44" i="1"/>
  <c r="E39" i="1"/>
  <c r="H39" i="1" s="1"/>
  <c r="E37" i="1"/>
  <c r="E28" i="1"/>
  <c r="E27" i="1"/>
  <c r="E21" i="1"/>
  <c r="E20" i="1"/>
  <c r="H20" i="1" s="1"/>
  <c r="E18" i="1"/>
  <c r="H14" i="1"/>
  <c r="E11" i="1"/>
  <c r="H24" i="1" s="1"/>
  <c r="H25" i="1" l="1"/>
  <c r="E47" i="1"/>
  <c r="H45" i="1"/>
  <c r="H46" i="1"/>
  <c r="H47" i="1"/>
  <c r="E46" i="1"/>
  <c r="B45" i="3" s="1"/>
  <c r="G45" i="3" s="1"/>
  <c r="E45" i="1"/>
  <c r="B44" i="3" s="1"/>
  <c r="G44" i="3" s="1"/>
  <c r="E22" i="1"/>
  <c r="H21" i="1" s="1"/>
  <c r="E48" i="1"/>
  <c r="H48" i="1" s="1"/>
  <c r="A6" i="3"/>
  <c r="C6" i="3"/>
  <c r="A7" i="3"/>
  <c r="B7" i="3"/>
  <c r="G7" i="3" s="1"/>
  <c r="C7" i="3"/>
  <c r="A8" i="3"/>
  <c r="C8" i="3"/>
  <c r="A9" i="3"/>
  <c r="C9" i="3"/>
  <c r="A10" i="3"/>
  <c r="C10" i="3"/>
  <c r="A11" i="3"/>
  <c r="C11" i="3"/>
  <c r="A12" i="3"/>
  <c r="C12" i="3"/>
  <c r="A13" i="3"/>
  <c r="C13" i="3"/>
  <c r="A14" i="3"/>
  <c r="C14" i="3"/>
  <c r="A15" i="3"/>
  <c r="C15" i="3"/>
  <c r="A16" i="3"/>
  <c r="C16" i="3"/>
  <c r="A17" i="3"/>
  <c r="C17" i="3"/>
  <c r="A18" i="3"/>
  <c r="C18" i="3"/>
  <c r="A19" i="3"/>
  <c r="C19" i="3"/>
  <c r="A20" i="3"/>
  <c r="C20" i="3"/>
  <c r="A21" i="3"/>
  <c r="C21" i="3"/>
  <c r="A22" i="3"/>
  <c r="C22" i="3"/>
  <c r="A23" i="3"/>
  <c r="C23" i="3"/>
  <c r="A24" i="3"/>
  <c r="C24" i="3"/>
  <c r="A25" i="3"/>
  <c r="B25" i="3"/>
  <c r="G25" i="3" s="1"/>
  <c r="C25" i="3"/>
  <c r="A26" i="3"/>
  <c r="C26" i="3"/>
  <c r="A27" i="3"/>
  <c r="C27" i="3"/>
  <c r="A28" i="3"/>
  <c r="C28" i="3"/>
  <c r="A29" i="3"/>
  <c r="A30" i="3"/>
  <c r="C30" i="3"/>
  <c r="C31" i="3"/>
  <c r="C34" i="3"/>
  <c r="A35" i="3"/>
  <c r="C35" i="3"/>
  <c r="A36" i="3"/>
  <c r="C36" i="3"/>
  <c r="A37" i="3"/>
  <c r="C37" i="3"/>
  <c r="A38" i="3"/>
  <c r="C38" i="3"/>
  <c r="A39" i="3"/>
  <c r="C39" i="3"/>
  <c r="A40" i="3"/>
  <c r="C40" i="3"/>
  <c r="A41" i="3"/>
  <c r="C41" i="3"/>
  <c r="A42" i="3"/>
  <c r="B42" i="3"/>
  <c r="G42" i="3" s="1"/>
  <c r="C42" i="3"/>
  <c r="A43" i="3"/>
  <c r="C43" i="3"/>
  <c r="A44" i="3"/>
  <c r="C44" i="3"/>
  <c r="A45" i="3"/>
  <c r="C45" i="3"/>
  <c r="A46" i="3"/>
  <c r="C46" i="3"/>
  <c r="A47" i="3"/>
  <c r="C47" i="3"/>
  <c r="A48" i="3"/>
  <c r="B48" i="3"/>
  <c r="G48" i="3" s="1"/>
  <c r="C48" i="3"/>
  <c r="A49" i="3"/>
  <c r="C49" i="3"/>
  <c r="A50" i="3"/>
  <c r="B50" i="3"/>
  <c r="G50" i="3" s="1"/>
  <c r="C50" i="3"/>
  <c r="A51" i="3"/>
  <c r="C51" i="3"/>
  <c r="A52" i="3"/>
  <c r="C52" i="3"/>
  <c r="A53" i="3"/>
  <c r="C53" i="3"/>
  <c r="A54" i="3"/>
  <c r="C54" i="3"/>
  <c r="A55" i="3"/>
  <c r="B55" i="3"/>
  <c r="G55" i="3" s="1"/>
  <c r="C55" i="3"/>
  <c r="A56" i="3"/>
  <c r="B56" i="3"/>
  <c r="G56" i="3" s="1"/>
  <c r="C56" i="3"/>
  <c r="D55" i="3"/>
  <c r="D56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B38" i="3" l="1"/>
  <c r="G38" i="3" s="1"/>
  <c r="E12" i="1" l="1"/>
  <c r="G24" i="1" l="1"/>
  <c r="H12" i="1"/>
  <c r="B12" i="3"/>
  <c r="G12" i="3" s="1"/>
  <c r="E17" i="1"/>
  <c r="B17" i="3" s="1"/>
  <c r="G17" i="3" s="1"/>
  <c r="B23" i="3" l="1"/>
  <c r="G23" i="3" s="1"/>
  <c r="B22" i="3" l="1"/>
  <c r="G22" i="3" s="1"/>
  <c r="B21" i="3" l="1"/>
  <c r="G21" i="3" s="1"/>
  <c r="B20" i="3"/>
  <c r="G20" i="3" s="1"/>
  <c r="E42" i="1" l="1"/>
  <c r="B41" i="3" l="1"/>
  <c r="G41" i="3" s="1"/>
  <c r="B47" i="3"/>
  <c r="G47" i="3" s="1"/>
  <c r="E13" i="1"/>
  <c r="H16" i="1" s="1"/>
  <c r="E10" i="1"/>
  <c r="H13" i="1" l="1"/>
  <c r="B13" i="3"/>
  <c r="G13" i="3" s="1"/>
  <c r="B11" i="3"/>
  <c r="G11" i="3" s="1"/>
  <c r="B10" i="3"/>
  <c r="G10" i="3" s="1"/>
  <c r="B24" i="3" l="1"/>
  <c r="G24" i="3" s="1"/>
  <c r="A5" i="3"/>
  <c r="D5" i="3"/>
  <c r="C5" i="3"/>
  <c r="E55" i="1" l="1"/>
  <c r="E54" i="1"/>
  <c r="B49" i="3" l="1"/>
  <c r="G49" i="3" s="1"/>
  <c r="B46" i="3"/>
  <c r="G46" i="3" s="1"/>
  <c r="B54" i="3"/>
  <c r="G54" i="3" s="1"/>
  <c r="B53" i="3"/>
  <c r="G53" i="3" s="1"/>
  <c r="B52" i="3"/>
  <c r="G52" i="3" s="1"/>
  <c r="E41" i="1"/>
  <c r="B37" i="3"/>
  <c r="G37" i="3" s="1"/>
  <c r="B19" i="3"/>
  <c r="G19" i="3" s="1"/>
  <c r="B16" i="3"/>
  <c r="G16" i="3" s="1"/>
  <c r="B29" i="3" l="1"/>
  <c r="G29" i="3" s="1"/>
  <c r="E34" i="1"/>
  <c r="B15" i="3"/>
  <c r="G15" i="3" s="1"/>
  <c r="F2" i="3"/>
  <c r="D62" i="1" s="1"/>
  <c r="C29" i="3"/>
  <c r="B43" i="3"/>
  <c r="G43" i="3" s="1"/>
  <c r="B36" i="3"/>
  <c r="G36" i="3" s="1"/>
  <c r="B26" i="3"/>
  <c r="G26" i="3" s="1"/>
  <c r="B31" i="3"/>
  <c r="G31" i="3" s="1"/>
  <c r="B35" i="3"/>
  <c r="G35" i="3" s="1"/>
  <c r="B39" i="3"/>
  <c r="G39" i="3" s="1"/>
  <c r="B30" i="3"/>
  <c r="G30" i="3" s="1"/>
  <c r="B34" i="3"/>
  <c r="G34" i="3" s="1"/>
  <c r="B18" i="3"/>
  <c r="G18" i="3" s="1"/>
  <c r="B27" i="3"/>
  <c r="G27" i="3" s="1"/>
  <c r="B40" i="3"/>
  <c r="G40" i="3" s="1"/>
  <c r="B28" i="3"/>
  <c r="G28" i="3" s="1"/>
  <c r="B14" i="3"/>
  <c r="G14" i="3" s="1"/>
  <c r="G32" i="3" l="1"/>
  <c r="B33" i="3"/>
  <c r="G33" i="3" s="1"/>
  <c r="B9" i="3"/>
  <c r="G9" i="3" s="1"/>
  <c r="F1" i="3" l="1"/>
  <c r="B8" i="3"/>
  <c r="G8" i="3" s="1"/>
  <c r="B6" i="3"/>
  <c r="G6" i="3" s="1"/>
  <c r="B5" i="3"/>
  <c r="C61" i="1" l="1"/>
  <c r="C62" i="1"/>
  <c r="G5" i="3"/>
  <c r="H1" i="3" s="1"/>
  <c r="I63" i="1" l="1"/>
  <c r="G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  <author>Uživatel systému Windows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FLONET FN20XX.1 is a volume flow meter for conductive liquids in pipes. It enables bi-directional flow measurement with high accuracy over a wide range of flow rates. The minimum required conductivity of the measured medium is 20 μS / cm.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If the temperature of the measured medium is higher than 60 ° C or the ambient temperature of the flow meter constantly exceeds 50 ° C, you must use a separate design and place the electronics box in an environment with lower ambient temperature.
ECONOMIC version does not include keyboard and display.
</t>
        </r>
      </text>
    </comment>
    <comment ref="D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Dimensions EN (ASME/AWWA ...) ˜ Qmax for the velocity 10m/s.
A size NPS by flanges AWWA (28“ and more) is indicative only. Accurate diameters aren’t defined in the standard.</t>
        </r>
      </text>
    </comment>
    <comment ref="D9" authorId="1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For wafer design, specify a type of counter flanges of your pipe
(ie between which flanges the sensor will be inserted)!</t>
        </r>
      </text>
    </comment>
    <comment ref="D14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IP 68 is not available in the compact version!</t>
        </r>
      </text>
    </comment>
    <comment ref="D15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Standard combinations of nominal pressures and dimensions:
PN 25  ~  DN 6 až 10
PN 40  ~  DN 15 až 50
PN 16  ~  DN 65 až 200
PN 10  ~  DN 250 až 700
PN 6    ~  DN 800 až 1200</t>
        </r>
      </text>
    </comment>
    <comment ref="D17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Maximum allowable pressure (PS max) depends on:
Flange type and material, max. allowable temperature (TS max) and rated pressure (PN).
You can find out which PS max is STANDARD on the "PS max" sheet.
</t>
        </r>
      </text>
    </comment>
    <comment ref="D20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The indication can be used only for dimension 32 and higher!</t>
        </r>
      </text>
    </comment>
    <comment ref="D2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Describe as accurately as possible
</t>
        </r>
      </text>
    </comment>
    <comment ref="D25" authorId="1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Do not fill in the compact version!</t>
        </r>
      </text>
    </comment>
    <comment ref="D33" authorId="1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see manual page 34</t>
        </r>
      </text>
    </comment>
    <comment ref="D37" authorId="1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~ It is here in the meaning of "Matches"</t>
        </r>
      </text>
    </comment>
    <comment ref="D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Baud (Bd) is a modulation rate unit indicating the number of changes in the state of the transmission medium per second.</t>
        </r>
      </text>
    </comment>
    <comment ref="D48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The first letter concerns the reception of data
(L = odd parity, S = even parity)</t>
        </r>
      </text>
    </comment>
    <comment ref="D50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You will always receive a calibration report when calibrating.</t>
        </r>
      </text>
    </comment>
    <comment ref="D5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Product IDO (Bill of Material No. incl. execution) is entered here by an authorized ELIS employee, if the product is in the Helios database.</t>
        </r>
      </text>
    </comment>
    <comment ref="C65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To type in this field, double-click in the field (double click - the cursor appears ...).
(New Line = Alt + Enter)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A3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Poslední dimenze dle ASME
</t>
        </r>
      </text>
    </comment>
    <comment ref="A32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Standard: Nejmenší dimenze dle AWWA
</t>
        </r>
      </text>
    </comment>
    <comment ref="A113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24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4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5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75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81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74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82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</commentList>
</comments>
</file>

<file path=xl/sharedStrings.xml><?xml version="1.0" encoding="utf-8"?>
<sst xmlns="http://schemas.openxmlformats.org/spreadsheetml/2006/main" count="634" uniqueCount="438">
  <si>
    <t>-</t>
  </si>
  <si>
    <t>JIS B2210</t>
  </si>
  <si>
    <t>AS 4087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</si>
  <si>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</si>
  <si>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</si>
  <si>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</si>
  <si>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</si>
  <si>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</si>
  <si>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</si>
  <si>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</si>
  <si>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</si>
  <si>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</si>
  <si>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</si>
  <si>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</si>
  <si>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</si>
  <si>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</si>
  <si>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</si>
  <si>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</si>
  <si>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</si>
  <si>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</si>
  <si>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</si>
  <si>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</si>
  <si>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</si>
  <si>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</si>
  <si>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</si>
  <si>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</si>
  <si>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</si>
  <si>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</si>
  <si>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</si>
  <si>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Objednací číslo</t>
  </si>
  <si>
    <t>FN20</t>
  </si>
  <si>
    <t>Hastelloy C-276</t>
  </si>
  <si>
    <t>Pol.</t>
  </si>
  <si>
    <t>0</t>
  </si>
  <si>
    <t>1</t>
  </si>
  <si>
    <t>2</t>
  </si>
  <si>
    <t>3</t>
  </si>
  <si>
    <t>4</t>
  </si>
  <si>
    <t>5</t>
  </si>
  <si>
    <t>6</t>
  </si>
  <si>
    <t>l/s</t>
  </si>
  <si>
    <t>l/min</t>
  </si>
  <si>
    <t>SS</t>
  </si>
  <si>
    <t>LS</t>
  </si>
  <si>
    <t>LL</t>
  </si>
  <si>
    <t>Není nabízena ze seznamu</t>
  </si>
  <si>
    <t>1 200 Bd</t>
  </si>
  <si>
    <t>2 400 Bd</t>
  </si>
  <si>
    <t>4 800 Bd</t>
  </si>
  <si>
    <t>19 200 Bd</t>
  </si>
  <si>
    <t>38 400 Bd</t>
  </si>
  <si>
    <t xml:space="preserve"> - </t>
  </si>
  <si>
    <t xml:space="preserve">Počet nezadaných hodnot: </t>
  </si>
  <si>
    <t>Nestandardní parametry</t>
  </si>
  <si>
    <t>HW část:</t>
  </si>
  <si>
    <t xml:space="preserve">Nestandardní parametry - souhrn: </t>
  </si>
  <si>
    <t>RS485</t>
  </si>
  <si>
    <t xml:space="preserve">PN 16 / Class 150 </t>
  </si>
  <si>
    <t>PN 6</t>
  </si>
  <si>
    <t>PN 10</t>
  </si>
  <si>
    <t>PN 40 / Class 300</t>
  </si>
  <si>
    <t>SEP (PED 0)</t>
  </si>
  <si>
    <t>PED I</t>
  </si>
  <si>
    <t>PED II</t>
  </si>
  <si>
    <t>PED III</t>
  </si>
  <si>
    <t>Není nabízen ze seznamu</t>
  </si>
  <si>
    <t>PN40</t>
  </si>
  <si>
    <t>PN16</t>
  </si>
  <si>
    <t>PN10</t>
  </si>
  <si>
    <t>PN6</t>
  </si>
  <si>
    <t>Class 150</t>
  </si>
  <si>
    <t>(Class)</t>
  </si>
  <si>
    <t>7</t>
  </si>
  <si>
    <t>8</t>
  </si>
  <si>
    <t>00</t>
  </si>
  <si>
    <t>Pozice</t>
  </si>
  <si>
    <t>Kód</t>
  </si>
  <si>
    <t>Název</t>
  </si>
  <si>
    <t>Hodnota</t>
  </si>
  <si>
    <t>24 V DC</t>
  </si>
  <si>
    <t>50</t>
  </si>
  <si>
    <t>500</t>
  </si>
  <si>
    <t xml:space="preserve">PN 25 </t>
  </si>
  <si>
    <t>100 l</t>
  </si>
  <si>
    <t>10 l</t>
  </si>
  <si>
    <t>US gal/s (GPS)</t>
  </si>
  <si>
    <t>US gal/min (GPM)</t>
  </si>
  <si>
    <t>1 l</t>
  </si>
  <si>
    <t>1000 l</t>
  </si>
  <si>
    <t>.1-</t>
  </si>
  <si>
    <t>m³/s</t>
  </si>
  <si>
    <t>m³/min</t>
  </si>
  <si>
    <t>TECHNICAL PARAMETERS</t>
  </si>
  <si>
    <t>Dimension of sensor DN/max flow rate</t>
  </si>
  <si>
    <t>Sensor material, coating</t>
  </si>
  <si>
    <t>Electrodes material</t>
  </si>
  <si>
    <t>Sensor lining</t>
  </si>
  <si>
    <t>Sensor protection</t>
  </si>
  <si>
    <t>Nominal pressure PN [bar]/psi [lb/in²]</t>
  </si>
  <si>
    <t>Tmax liquid [ °C ]</t>
  </si>
  <si>
    <t>Power supply</t>
  </si>
  <si>
    <t>Empty pipe detection</t>
  </si>
  <si>
    <t>Type of measured liquid</t>
  </si>
  <si>
    <t>Length of cable</t>
  </si>
  <si>
    <t>FLOW METER SETTINGS</t>
  </si>
  <si>
    <t>Measurement type</t>
  </si>
  <si>
    <t>Measurement in sensitivity</t>
  </si>
  <si>
    <t>Dosing</t>
  </si>
  <si>
    <t>Size of dosing</t>
  </si>
  <si>
    <t>TYPE IDENTIFICATION</t>
  </si>
  <si>
    <t>Sensor design</t>
  </si>
  <si>
    <t>Flowmeter version and equipment</t>
  </si>
  <si>
    <t>Number of samples for averaging</t>
  </si>
  <si>
    <t>Electrode cleaning</t>
  </si>
  <si>
    <t>User language</t>
  </si>
  <si>
    <t>COMMUNICATION SETTINGS</t>
  </si>
  <si>
    <t>Interface</t>
  </si>
  <si>
    <t>Parity</t>
  </si>
  <si>
    <t>CALIBRATION</t>
  </si>
  <si>
    <t>Calibration</t>
  </si>
  <si>
    <t>Address-put down from the range 1 to 255</t>
  </si>
  <si>
    <t>Baud rate</t>
  </si>
  <si>
    <t>PURCHASE CONDITIONS</t>
  </si>
  <si>
    <t>Number of peaces</t>
  </si>
  <si>
    <t>Packaging</t>
  </si>
  <si>
    <t>Delivery</t>
  </si>
  <si>
    <t>Warranty</t>
  </si>
  <si>
    <t>Unpackaging</t>
  </si>
  <si>
    <t>Number of manual flowmeter</t>
  </si>
  <si>
    <t>IDO of flowmeter (given by ELIS)</t>
  </si>
  <si>
    <t>Click each white field in column D to turn it off (most of the predefined values).</t>
  </si>
  <si>
    <t>Recommended value</t>
  </si>
  <si>
    <t>The table serves as an attachment to the inquiry or order and for production sector.</t>
  </si>
  <si>
    <t>Error message / note</t>
  </si>
  <si>
    <t>No</t>
  </si>
  <si>
    <t>Yes</t>
  </si>
  <si>
    <t>Code</t>
  </si>
  <si>
    <t>Flange</t>
  </si>
  <si>
    <t>Wafer</t>
  </si>
  <si>
    <t>Non-standard</t>
  </si>
  <si>
    <t>COMFORT compact</t>
  </si>
  <si>
    <t>COMFORT remote</t>
  </si>
  <si>
    <t>Complete stainless steel 1.4301</t>
  </si>
  <si>
    <t>Sensor body: Carbon steel, 
Flanges: Stainless steel 1.4301, 
polyurethane coating</t>
  </si>
  <si>
    <t>Grounding electrodes</t>
  </si>
  <si>
    <t>Output OUT 1 functions</t>
  </si>
  <si>
    <t>Output OUT 2 functions</t>
  </si>
  <si>
    <t>Displayed units</t>
  </si>
  <si>
    <t>Items selection in configuration menu</t>
  </si>
  <si>
    <t>Grounding rings</t>
  </si>
  <si>
    <t xml:space="preserve">No </t>
  </si>
  <si>
    <t>11 - Electrodes material</t>
  </si>
  <si>
    <t>Stainless steel 1.4571</t>
  </si>
  <si>
    <t>Platinum/Rhodium Pt/Rh10</t>
  </si>
  <si>
    <t>Tantalum</t>
  </si>
  <si>
    <t>Titanium Gr.2 ASTM B348-03</t>
  </si>
  <si>
    <t>Standard (see page "PS max")</t>
  </si>
  <si>
    <t>Group - specify from 1 to 255</t>
  </si>
  <si>
    <t>RELATED REGULATIONS</t>
  </si>
  <si>
    <t>Date</t>
  </si>
  <si>
    <t>Company</t>
  </si>
  <si>
    <t>Code ON</t>
  </si>
  <si>
    <t>These parameters (item number - name):</t>
  </si>
  <si>
    <t>Your inquiry / order number</t>
  </si>
  <si>
    <t>Item number in the inquiry / order</t>
  </si>
  <si>
    <t>Group 1 fluids as defined in art. 4 par. C) ii) PED</t>
  </si>
  <si>
    <t>Group 2 fluids as defined in art. 4 par. C) ii) PED</t>
  </si>
  <si>
    <t>Group 1 gases as defined in art. 4 par. 1 C) i) PED</t>
  </si>
  <si>
    <t>Group 2 gases as defined in art. 4 par. 1 C) i) PED</t>
  </si>
  <si>
    <t>Category by PED 2014/68/EU</t>
  </si>
  <si>
    <t>PED is not required</t>
  </si>
  <si>
    <t>Without grounding rings</t>
  </si>
  <si>
    <t>Without the cable</t>
  </si>
  <si>
    <t>In case of possible copying of the Order No. listed on the left</t>
  </si>
  <si>
    <t>use function "Insert values"!</t>
  </si>
  <si>
    <t>One-directional</t>
  </si>
  <si>
    <t>Standard  ±0,5 % Qmax</t>
  </si>
  <si>
    <t>Other dosing</t>
  </si>
  <si>
    <t>US gal/hr (GPH)</t>
  </si>
  <si>
    <t>l/hr</t>
  </si>
  <si>
    <t>Not required</t>
  </si>
  <si>
    <t>m³/pulse</t>
  </si>
  <si>
    <t>US gal/pulse</t>
  </si>
  <si>
    <t>Total volume +</t>
  </si>
  <si>
    <t>Total volume -</t>
  </si>
  <si>
    <t>Volume difference</t>
  </si>
  <si>
    <t>Operational time</t>
  </si>
  <si>
    <t>Percent flow rate</t>
  </si>
  <si>
    <t>Last error</t>
  </si>
  <si>
    <t>Dosing mode</t>
  </si>
  <si>
    <t>Disabled</t>
  </si>
  <si>
    <t>Pulses for |Q|</t>
  </si>
  <si>
    <t xml:space="preserve">Pulses for Q+ </t>
  </si>
  <si>
    <r>
      <t>Pulses for Q</t>
    </r>
    <r>
      <rPr>
        <sz val="14"/>
        <rFont val="Calibri"/>
        <family val="2"/>
        <charset val="238"/>
        <scheme val="minor"/>
      </rPr>
      <t>-</t>
    </r>
  </si>
  <si>
    <t>Non-standard setting of pulse length, pulse gap and pulse constant</t>
  </si>
  <si>
    <t>Pulse output - non-standard settings</t>
  </si>
  <si>
    <t>Upon power ON</t>
  </si>
  <si>
    <t>Regular, every day</t>
  </si>
  <si>
    <t>Regular, every 5 days</t>
  </si>
  <si>
    <t>Regular, every 10 days</t>
  </si>
  <si>
    <t>Regular, every 20 days</t>
  </si>
  <si>
    <t>Regular, every 50 days</t>
  </si>
  <si>
    <t>Regular, every 100 days</t>
  </si>
  <si>
    <t>Regular, every 200 days</t>
  </si>
  <si>
    <t>Czech/English/Dutch/Polish</t>
  </si>
  <si>
    <t>Czech/English/Dutch/French</t>
  </si>
  <si>
    <t>Czech/English/Dutch/Italian</t>
  </si>
  <si>
    <t>Another language</t>
  </si>
  <si>
    <t>No parity</t>
  </si>
  <si>
    <t>Without calibration</t>
  </si>
  <si>
    <t>Standard calibration acc. to EN ISO 4064-1, class 2</t>
  </si>
  <si>
    <t>Standard</t>
  </si>
  <si>
    <t>Personally</t>
  </si>
  <si>
    <t>By shipping agent on buyer’s costs</t>
  </si>
  <si>
    <t>6 months</t>
  </si>
  <si>
    <t>24 months</t>
  </si>
  <si>
    <t>18 months</t>
  </si>
  <si>
    <t>36 months</t>
  </si>
  <si>
    <r>
      <t xml:space="preserve">Negative flow rate
</t>
    </r>
    <r>
      <rPr>
        <sz val="9"/>
        <rFont val="Calibri"/>
        <family val="2"/>
        <charset val="238"/>
        <scheme val="minor"/>
      </rPr>
      <t>(starts with negative flow rate)</t>
    </r>
  </si>
  <si>
    <r>
      <t xml:space="preserve">Positive flow rate
</t>
    </r>
    <r>
      <rPr>
        <sz val="9"/>
        <rFont val="Calibri"/>
        <family val="2"/>
        <charset val="238"/>
        <scheme val="minor"/>
      </rPr>
      <t>(starts with positive flow rate)</t>
    </r>
  </si>
  <si>
    <t>Pulses for Q+</t>
  </si>
  <si>
    <r>
      <t>Pulses for Q</t>
    </r>
    <r>
      <rPr>
        <sz val="14"/>
        <rFont val="Calibri"/>
        <family val="2"/>
        <charset val="238"/>
        <scheme val="minor"/>
      </rPr>
      <t xml:space="preserve">- </t>
    </r>
  </si>
  <si>
    <r>
      <t xml:space="preserve">Meter diagnostics
</t>
    </r>
    <r>
      <rPr>
        <sz val="9"/>
        <rFont val="Calibri"/>
        <family val="2"/>
        <charset val="238"/>
        <scheme val="minor"/>
      </rPr>
      <t>(starts when a fault occurs)</t>
    </r>
  </si>
  <si>
    <r>
      <t xml:space="preserve">Flow limit value indication Q &gt; Q limit
</t>
    </r>
    <r>
      <rPr>
        <sz val="9"/>
        <rFont val="Calibri"/>
        <family val="2"/>
        <charset val="238"/>
        <scheme val="minor"/>
      </rPr>
      <t>(starts when exceeded Q</t>
    </r>
    <r>
      <rPr>
        <vertAlign val="subscript"/>
        <sz val="9"/>
        <rFont val="Calibri"/>
        <family val="2"/>
        <charset val="238"/>
        <scheme val="minor"/>
      </rPr>
      <t>limit</t>
    </r>
    <r>
      <rPr>
        <sz val="9"/>
        <rFont val="Calibri"/>
        <family val="2"/>
        <charset val="238"/>
        <scheme val="minor"/>
      </rPr>
      <t>)</t>
    </r>
    <r>
      <rPr>
        <vertAlign val="sub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
Standard setting: Qlimit = Qmax</t>
    </r>
  </si>
  <si>
    <t>Frequency output for - non-standard setting</t>
  </si>
  <si>
    <r>
      <t xml:space="preserve">Negative flow direction indication
</t>
    </r>
    <r>
      <rPr>
        <sz val="9"/>
        <rFont val="Calibri"/>
        <family val="2"/>
        <charset val="238"/>
        <scheme val="minor"/>
      </rPr>
      <t>(negative flow, contacts closed)</t>
    </r>
  </si>
  <si>
    <r>
      <t xml:space="preserve">Positive flow direction indication
</t>
    </r>
    <r>
      <rPr>
        <sz val="9"/>
        <rFont val="Calibri"/>
        <family val="2"/>
        <charset val="238"/>
        <scheme val="minor"/>
      </rPr>
      <t>(positive flow, contacts closed)</t>
    </r>
  </si>
  <si>
    <t>Pulse output - Non-standard setting of pulse length, pulse gap and pulse constant</t>
  </si>
  <si>
    <r>
      <t xml:space="preserve">Meter diagnostics no error
</t>
    </r>
    <r>
      <rPr>
        <sz val="9"/>
        <rFont val="Calibri"/>
        <family val="2"/>
        <charset val="238"/>
        <scheme val="minor"/>
      </rPr>
      <t>(is switched on if there is no fault in the flowmeter)</t>
    </r>
  </si>
  <si>
    <t>Flow limit value indication Q &lt; Qlimit
(closes when undercover Qlimit) 
Standard setting: Qlimit = Qmax</t>
  </si>
  <si>
    <t>Flow limit value indication |Q| &gt; Qlimit
(closes when exceeded Qlimit) 
Standard settings: Qlimit = Qmax</t>
  </si>
  <si>
    <t>Flow limit value indication |Q| &lt; Qlimit
(closes when undercover Qlimit) 
Standard settings: Qlimit = Qmax</t>
  </si>
  <si>
    <t>Flow limit value indication: Non-standard settings Qlimit and hysteresis</t>
  </si>
  <si>
    <t>Overview of standard maximum allowable pressures</t>
  </si>
  <si>
    <t>depending on flange type and material, maximum allowable temperature and nominal pressure</t>
  </si>
  <si>
    <t>Maximum allowable pressure (PS) [bar] for</t>
  </si>
  <si>
    <t>Nominal</t>
  </si>
  <si>
    <t>pressure</t>
  </si>
  <si>
    <r>
      <t>TS</t>
    </r>
    <r>
      <rPr>
        <vertAlign val="subscript"/>
        <sz val="11"/>
        <color rgb="FF000000"/>
        <rFont val="Calibri"/>
        <family val="2"/>
        <charset val="238"/>
      </rPr>
      <t xml:space="preserve">max </t>
    </r>
    <r>
      <rPr>
        <sz val="11"/>
        <color rgb="FF000000"/>
        <rFont val="Calibri"/>
        <family val="2"/>
        <charset val="238"/>
      </rPr>
      <t xml:space="preserve">= 150°C
</t>
    </r>
    <r>
      <rPr>
        <sz val="9"/>
        <color rgb="FF000000"/>
        <rFont val="Calibri"/>
        <family val="2"/>
        <charset val="238"/>
      </rPr>
      <t>(linings PTFE)</t>
    </r>
  </si>
  <si>
    <t>Maximum allowable pressure (PS) [bar]</t>
  </si>
  <si>
    <r>
      <t xml:space="preserve">Electrod cleaning:  Cleaning in progress
</t>
    </r>
    <r>
      <rPr>
        <sz val="9"/>
        <rFont val="Calibri"/>
        <family val="2"/>
        <charset val="238"/>
        <scheme val="minor"/>
      </rPr>
      <t>(switches on in cleaning mode)</t>
    </r>
  </si>
  <si>
    <r>
      <t xml:space="preserve">Elecrod cleaning:  No cleaning
</t>
    </r>
    <r>
      <rPr>
        <sz val="9"/>
        <rFont val="Calibri"/>
        <family val="2"/>
        <charset val="238"/>
        <scheme val="minor"/>
      </rPr>
      <t>(on when not in cleaning mode)</t>
    </r>
  </si>
  <si>
    <t>Diagnostics of flow meter failure
(closes when a fault occurs)</t>
  </si>
  <si>
    <t>Diagnostics of faultless condition
(closed if there is no fault in the flowmeter)</t>
  </si>
  <si>
    <t>Flow limit value indication Q &lt; Qlimit
(switches when Qlimit is exceeded)
Standard setting: Qlimit = Qmax</t>
  </si>
  <si>
    <t>Flow limit value indication Q &gt; Qlimit
(switches when Qlimit is exceeded)
Standard setting: Qlimit = Qmax</t>
  </si>
  <si>
    <t>Flow limit value indication |Q| &gt; Qlimit 
(switches when Qlimit is exceeded)
Standard setting: Qlimit = Qmax</t>
  </si>
  <si>
    <t>Flow limit value indication |Q| &lt; Qlimit
(closes when Qlimit falls below)
Standard setting: Qlimit = Qmax</t>
  </si>
  <si>
    <t>Flow limit value indication:  Non-standard setting of Qlimit and hysteresis</t>
  </si>
  <si>
    <t>Electrode cleaning indication: Cleaning in progress
(switches on in cleaning mode)</t>
  </si>
  <si>
    <t>Electrode cleaning indication: No cleaning
(on when not in cleaning mode)</t>
  </si>
  <si>
    <t>Yes (optional requirement)</t>
  </si>
  <si>
    <t>Type of liquid by PED 2014/68/EU</t>
  </si>
  <si>
    <t>Relay function</t>
  </si>
  <si>
    <t>Activation of errors</t>
  </si>
  <si>
    <t>ECONOMIC compact</t>
  </si>
  <si>
    <t>ECONOMIC remote</t>
  </si>
  <si>
    <t>x</t>
  </si>
  <si>
    <t>xx</t>
  </si>
  <si>
    <t>x4</t>
  </si>
  <si>
    <t>x8</t>
  </si>
  <si>
    <t>x7</t>
  </si>
  <si>
    <t>Here specify all parameters marked as NON-STANDARD (code "x")</t>
  </si>
  <si>
    <t>The above parameters defining the design of the product.</t>
  </si>
  <si>
    <t>05 - Provedení měřicího čidla</t>
  </si>
  <si>
    <t>06 - Vybavení a provedení průtokoměru</t>
  </si>
  <si>
    <t>08 - Dimenze čidla</t>
  </si>
  <si>
    <t>09 - Příruby čidla</t>
  </si>
  <si>
    <t>10 - Materiál a povrchová úprava čidla</t>
  </si>
  <si>
    <t>12 - Zemnicí elektroda</t>
  </si>
  <si>
    <t>13 - Výstelka čidla</t>
  </si>
  <si>
    <t>14 - Krytí čidla</t>
  </si>
  <si>
    <t>15 - Jmenovitý tlak</t>
  </si>
  <si>
    <t>18 - Napájení</t>
  </si>
  <si>
    <t>Žádná (komunikace není požadována)</t>
  </si>
  <si>
    <t>16 -Maximální provozní teplota média</t>
  </si>
  <si>
    <t>17 -Maximální dovolený tlak</t>
  </si>
  <si>
    <r>
      <t>Current output Flow rate for I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>=Q4</t>
    </r>
  </si>
  <si>
    <t xml:space="preserve"> Specification table for electromagnetic flow meter FLONET FN20xx.1 </t>
  </si>
  <si>
    <t>Flanges acc to EN1092-1 from carbon steel</t>
  </si>
  <si>
    <t>Flanges acc to EN1092-1 from stainless steel 1.4301</t>
  </si>
  <si>
    <t>Flanges acc to ASME B16.5  from carbon steel</t>
  </si>
  <si>
    <t>Flanges acc to ASME B16.5 from stainless steel 1.4301</t>
  </si>
  <si>
    <t xml:space="preserve"> pressure</t>
  </si>
  <si>
    <t>Pulse number</t>
  </si>
  <si>
    <t>Units of pulse number</t>
  </si>
  <si>
    <t>Es90420K/c</t>
  </si>
  <si>
    <t>By shipping agent on supplier's costs</t>
  </si>
  <si>
    <r>
      <t>TS</t>
    </r>
    <r>
      <rPr>
        <vertAlign val="subscript"/>
        <sz val="11"/>
        <color theme="1"/>
        <rFont val="Calibri"/>
        <family val="2"/>
        <charset val="238"/>
      </rPr>
      <t xml:space="preserve">max </t>
    </r>
    <r>
      <rPr>
        <sz val="11"/>
        <color theme="1"/>
        <rFont val="Calibri"/>
        <family val="2"/>
        <charset val="238"/>
      </rPr>
      <t xml:space="preserve">= 80°C
</t>
    </r>
    <r>
      <rPr>
        <sz val="9"/>
        <color theme="1"/>
        <rFont val="Calibri"/>
        <family val="2"/>
        <charset val="238"/>
      </rPr>
      <t>(linings HR, SR, SPR)</t>
    </r>
  </si>
  <si>
    <t>Wafer design sensors with the cover from carbon steel cover</t>
  </si>
  <si>
    <t>* For flanges of a material group 3E0 acc to EN1092-1 for example carbon steel P245GH, P265GH.</t>
  </si>
  <si>
    <t>Notes</t>
  </si>
  <si>
    <r>
      <t>TS</t>
    </r>
    <r>
      <rPr>
        <vertAlign val="subscript"/>
        <sz val="11"/>
        <color theme="1"/>
        <rFont val="Calibri"/>
        <family val="2"/>
        <charset val="238"/>
      </rPr>
      <t xml:space="preserve">max </t>
    </r>
    <r>
      <rPr>
        <sz val="11"/>
        <color theme="1"/>
        <rFont val="Calibri"/>
        <family val="2"/>
        <charset val="238"/>
      </rPr>
      <t xml:space="preserve">= 110°C
</t>
    </r>
    <r>
      <rPr>
        <sz val="9"/>
        <color theme="1"/>
        <rFont val="Calibri"/>
        <family val="2"/>
        <charset val="238"/>
      </rPr>
      <t>(linings PTFE)</t>
    </r>
  </si>
  <si>
    <r>
      <t xml:space="preserve"> the maximum allowable temperature (TS</t>
    </r>
    <r>
      <rPr>
        <vertAlign val="subscript"/>
        <sz val="10"/>
        <color theme="1"/>
        <rFont val="Calibri"/>
        <family val="2"/>
        <charset val="238"/>
      </rPr>
      <t>max</t>
    </r>
    <r>
      <rPr>
        <sz val="10"/>
        <color theme="1"/>
        <rFont val="Calibri"/>
        <family val="2"/>
        <charset val="238"/>
      </rPr>
      <t>) *</t>
    </r>
  </si>
  <si>
    <r>
      <t xml:space="preserve"> the maximum allowable temperature (TS</t>
    </r>
    <r>
      <rPr>
        <vertAlign val="subscript"/>
        <sz val="10"/>
        <color theme="1"/>
        <rFont val="Calibri"/>
        <family val="2"/>
        <charset val="238"/>
      </rPr>
      <t>max</t>
    </r>
    <r>
      <rPr>
        <sz val="10"/>
        <color theme="1"/>
        <rFont val="Calibri"/>
        <family val="2"/>
        <charset val="238"/>
      </rPr>
      <t>)*</t>
    </r>
  </si>
  <si>
    <r>
      <t>TS</t>
    </r>
    <r>
      <rPr>
        <vertAlign val="subscript"/>
        <sz val="11"/>
        <color theme="1"/>
        <rFont val="Calibri"/>
        <family val="2"/>
        <charset val="238"/>
      </rPr>
      <t xml:space="preserve">max </t>
    </r>
    <r>
      <rPr>
        <sz val="11"/>
        <color theme="1"/>
        <rFont val="Calibri"/>
        <family val="2"/>
        <charset val="238"/>
      </rPr>
      <t xml:space="preserve">= 110°C
</t>
    </r>
    <r>
      <rPr>
        <sz val="9"/>
        <color theme="1"/>
        <rFont val="Calibri"/>
        <family val="2"/>
        <charset val="238"/>
      </rPr>
      <t>(lin. PTFE, E-CTFE)</t>
    </r>
    <r>
      <rPr>
        <sz val="10"/>
        <color theme="1"/>
        <rFont val="Calibri"/>
        <family val="2"/>
        <charset val="238"/>
      </rPr>
      <t>**</t>
    </r>
  </si>
  <si>
    <r>
      <t>TS</t>
    </r>
    <r>
      <rPr>
        <vertAlign val="subscript"/>
        <sz val="11"/>
        <color rgb="FF000000"/>
        <rFont val="Calibri"/>
        <family val="2"/>
        <charset val="238"/>
      </rPr>
      <t xml:space="preserve">max </t>
    </r>
    <r>
      <rPr>
        <sz val="11"/>
        <color rgb="FF000000"/>
        <rFont val="Calibri"/>
        <family val="2"/>
        <charset val="238"/>
      </rPr>
      <t xml:space="preserve">= 120°C
</t>
    </r>
    <r>
      <rPr>
        <sz val="9"/>
        <color rgb="FF000000"/>
        <rFont val="Calibri"/>
        <family val="2"/>
        <charset val="238"/>
      </rPr>
      <t>(linings E-CTFE)</t>
    </r>
    <r>
      <rPr>
        <sz val="10"/>
        <color rgb="FF000000"/>
        <rFont val="Calibri"/>
        <family val="2"/>
        <charset val="238"/>
      </rPr>
      <t>**</t>
    </r>
  </si>
  <si>
    <r>
      <t>TS</t>
    </r>
    <r>
      <rPr>
        <vertAlign val="subscript"/>
        <sz val="11"/>
        <color rgb="FF000000"/>
        <rFont val="Calibri"/>
        <family val="2"/>
        <charset val="238"/>
      </rPr>
      <t xml:space="preserve">max </t>
    </r>
    <r>
      <rPr>
        <sz val="11"/>
        <color rgb="FF000000"/>
        <rFont val="Calibri"/>
        <family val="2"/>
        <charset val="238"/>
      </rPr>
      <t xml:space="preserve">= 150°C
</t>
    </r>
    <r>
      <rPr>
        <sz val="9"/>
        <color rgb="FF000000"/>
        <rFont val="Calibri"/>
        <family val="2"/>
        <charset val="238"/>
      </rPr>
      <t>(linings PTFE)</t>
    </r>
    <r>
      <rPr>
        <sz val="10"/>
        <color rgb="FF000000"/>
        <rFont val="Calibri"/>
        <family val="2"/>
        <charset val="238"/>
      </rPr>
      <t>**</t>
    </r>
  </si>
  <si>
    <r>
      <t>It is possible to deliver sensors with flanges for other types of PS</t>
    </r>
    <r>
      <rPr>
        <vertAlign val="subscript"/>
        <sz val="9"/>
        <color rgb="FF000000"/>
        <rFont val="Arial"/>
        <family val="2"/>
        <charset val="238"/>
      </rPr>
      <t>max</t>
    </r>
    <r>
      <rPr>
        <sz val="9"/>
        <color rgb="FF000000"/>
        <rFont val="Arial"/>
        <family val="2"/>
        <charset val="238"/>
      </rPr>
      <t xml:space="preserve"> a TS</t>
    </r>
    <r>
      <rPr>
        <vertAlign val="subscript"/>
        <sz val="9"/>
        <color rgb="FF000000"/>
        <rFont val="Arial"/>
        <family val="2"/>
        <charset val="238"/>
      </rPr>
      <t>max</t>
    </r>
    <r>
      <rPr>
        <sz val="9"/>
        <color rgb="FF000000"/>
        <rFont val="Arial"/>
        <family val="2"/>
        <charset val="238"/>
      </rPr>
      <t xml:space="preserve"> in view on pressure-temperature properties of a flange material under  discussion with the producer only.</t>
    </r>
  </si>
  <si>
    <t>** On request only.</t>
  </si>
  <si>
    <r>
      <t>Values PS</t>
    </r>
    <r>
      <rPr>
        <vertAlign val="subscript"/>
        <sz val="9"/>
        <color rgb="FF000000"/>
        <rFont val="Arial"/>
        <family val="2"/>
        <charset val="238"/>
      </rPr>
      <t>max</t>
    </r>
    <r>
      <rPr>
        <sz val="9"/>
        <color rgb="FF000000"/>
        <rFont val="Arial"/>
        <family val="2"/>
        <charset val="238"/>
      </rPr>
      <t xml:space="preserve"> (maximum allowed pressure) and TS</t>
    </r>
    <r>
      <rPr>
        <vertAlign val="subscript"/>
        <sz val="9"/>
        <color rgb="FF000000"/>
        <rFont val="Arial"/>
        <family val="2"/>
        <charset val="238"/>
      </rPr>
      <t>max</t>
    </r>
    <r>
      <rPr>
        <sz val="9"/>
        <color rgb="FF000000"/>
        <rFont val="Arial"/>
        <family val="2"/>
        <charset val="238"/>
      </rPr>
      <t xml:space="preserve"> (maximum allowed temperature), which belong to a sensor, are printed on a production label.</t>
    </r>
  </si>
  <si>
    <t>EN 1092-1</t>
  </si>
  <si>
    <t>10 m/33 ft</t>
  </si>
  <si>
    <t>15 m/50 ft</t>
  </si>
  <si>
    <t>20 m/66 ft</t>
  </si>
  <si>
    <t>30 m/98 ft</t>
  </si>
  <si>
    <t>40 m/131 ft</t>
  </si>
  <si>
    <t>50 m/164 ft</t>
  </si>
  <si>
    <r>
      <t xml:space="preserve"> 0 to |</t>
    </r>
    <r>
      <rPr>
        <sz val="11"/>
        <color theme="1"/>
        <rFont val="Calibri"/>
        <family val="2"/>
        <charset val="238"/>
      </rPr>
      <t>±</t>
    </r>
    <r>
      <rPr>
        <sz val="11"/>
        <color theme="1"/>
        <rFont val="Calibri"/>
        <family val="2"/>
        <charset val="238"/>
        <scheme val="minor"/>
      </rPr>
      <t>Q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>|   ~   4 to 20 mA</t>
    </r>
  </si>
  <si>
    <r>
      <t xml:space="preserve"> 0 to +Q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max </t>
    </r>
    <r>
      <rPr>
        <sz val="11"/>
        <color theme="1"/>
        <rFont val="Calibri"/>
        <family val="2"/>
        <charset val="238"/>
        <scheme val="minor"/>
      </rPr>
      <t xml:space="preserve">  ~   0 to 20 mA</t>
    </r>
  </si>
  <si>
    <r>
      <t xml:space="preserve"> 0 to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charset val="238"/>
        <scheme val="minor"/>
      </rPr>
      <t>-</t>
    </r>
    <r>
      <rPr>
        <sz val="11"/>
        <color theme="1"/>
        <rFont val="Calibri"/>
        <family val="2"/>
        <charset val="238"/>
        <scheme val="minor"/>
      </rPr>
      <t>Q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 xml:space="preserve">   ~   0 to 20 mA</t>
    </r>
  </si>
  <si>
    <r>
      <t xml:space="preserve"> 0 ÷ |</t>
    </r>
    <r>
      <rPr>
        <sz val="11"/>
        <color theme="1"/>
        <rFont val="Calibri"/>
        <family val="2"/>
        <charset val="238"/>
      </rPr>
      <t>±</t>
    </r>
    <r>
      <rPr>
        <sz val="11"/>
        <color theme="1"/>
        <rFont val="Calibri"/>
        <family val="2"/>
        <charset val="238"/>
        <scheme val="minor"/>
      </rPr>
      <t>Q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>|   ~   0 to 20 mA</t>
    </r>
  </si>
  <si>
    <r>
      <t xml:space="preserve"> </t>
    </r>
    <r>
      <rPr>
        <sz val="14"/>
        <rFont val="Calibri"/>
        <family val="2"/>
        <charset val="238"/>
        <scheme val="minor"/>
      </rPr>
      <t>-</t>
    </r>
    <r>
      <rPr>
        <sz val="11"/>
        <rFont val="Calibri"/>
        <family val="2"/>
        <charset val="238"/>
        <scheme val="minor"/>
      </rPr>
      <t>Q</t>
    </r>
    <r>
      <rPr>
        <vertAlign val="subscript"/>
        <sz val="11"/>
        <rFont val="Calibri"/>
        <family val="2"/>
        <charset val="238"/>
        <scheme val="minor"/>
      </rPr>
      <t>max</t>
    </r>
    <r>
      <rPr>
        <sz val="11"/>
        <rFont val="Calibri"/>
        <family val="2"/>
        <charset val="238"/>
        <scheme val="minor"/>
      </rPr>
      <t xml:space="preserve"> to +Q</t>
    </r>
    <r>
      <rPr>
        <vertAlign val="subscript"/>
        <sz val="11"/>
        <rFont val="Calibri"/>
        <family val="2"/>
        <charset val="238"/>
        <scheme val="minor"/>
      </rPr>
      <t>max</t>
    </r>
    <r>
      <rPr>
        <sz val="11"/>
        <rFont val="Calibri"/>
        <family val="2"/>
        <charset val="238"/>
        <scheme val="minor"/>
      </rPr>
      <t xml:space="preserve">  ~   0 to 20 mA</t>
    </r>
  </si>
  <si>
    <r>
      <t xml:space="preserve"> 0 to +Q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max </t>
    </r>
    <r>
      <rPr>
        <sz val="11"/>
        <color theme="1"/>
        <rFont val="Calibri"/>
        <family val="2"/>
        <charset val="238"/>
        <scheme val="minor"/>
      </rPr>
      <t xml:space="preserve">  ~   4 to 20 mA</t>
    </r>
  </si>
  <si>
    <r>
      <t xml:space="preserve"> 0 to </t>
    </r>
    <r>
      <rPr>
        <sz val="14"/>
        <color theme="1"/>
        <rFont val="Calibri"/>
        <family val="2"/>
        <charset val="238"/>
        <scheme val="minor"/>
      </rPr>
      <t>-</t>
    </r>
    <r>
      <rPr>
        <sz val="11"/>
        <color theme="1"/>
        <rFont val="Calibri"/>
        <family val="2"/>
        <charset val="238"/>
        <scheme val="minor"/>
      </rPr>
      <t>Q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 xml:space="preserve">   ~   4 to 20 mA</t>
    </r>
  </si>
  <si>
    <r>
      <t xml:space="preserve">Frequency for Q+ 
</t>
    </r>
    <r>
      <rPr>
        <sz val="9"/>
        <rFont val="Calibri"/>
        <family val="2"/>
        <charset val="238"/>
        <scheme val="minor"/>
      </rPr>
      <t>0 to Qmax  ~  0 to 1 kHz</t>
    </r>
  </si>
  <si>
    <r>
      <t>Frequency for Q</t>
    </r>
    <r>
      <rPr>
        <sz val="14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0 to Qmax  ~  0 to 1 kHz</t>
    </r>
  </si>
  <si>
    <r>
      <t xml:space="preserve">Frequency output for |Q| 
</t>
    </r>
    <r>
      <rPr>
        <sz val="9"/>
        <rFont val="Calibri"/>
        <family val="2"/>
        <charset val="238"/>
        <scheme val="minor"/>
      </rPr>
      <t>0 to Qmax  ~  0 to 1 kHz</t>
    </r>
  </si>
  <si>
    <r>
      <t xml:space="preserve">Frequency output for Q+ 
</t>
    </r>
    <r>
      <rPr>
        <sz val="9"/>
        <rFont val="Calibri"/>
        <family val="2"/>
        <charset val="238"/>
        <scheme val="minor"/>
      </rPr>
      <t>0 to Qmax  ~  0 to 1 kHz</t>
    </r>
  </si>
  <si>
    <r>
      <t>Frequency output for Q</t>
    </r>
    <r>
      <rPr>
        <sz val="14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0 to Qmax  ~  0 to 1 kHz</t>
    </r>
  </si>
  <si>
    <t>230 V AC, 50 Hz to 60 Hz</t>
  </si>
  <si>
    <t>115 V AC, 50 Hz to 60 Hz</t>
  </si>
  <si>
    <t>24 V AC, 50 Hz to 60 Hz</t>
  </si>
  <si>
    <t>Hard rubber (+5 to +80 °C, DN25 to DN1200) (+41 °F to +176 °F for 1" to 48")</t>
  </si>
  <si>
    <t>Soft rubber (-20 to +80 °C, DN25 to DN1200) (-4 °F to +176 °F for 1" to 48")</t>
  </si>
  <si>
    <r>
      <t>Special rubber for drinking water (+5 to +80 °C, DN40 to DN1200) (+41 °F to +176 °F for 1</t>
    </r>
    <r>
      <rPr>
        <sz val="11"/>
        <color theme="1"/>
        <rFont val="Calibri"/>
        <family val="2"/>
        <charset val="238"/>
      </rPr>
      <t>½</t>
    </r>
    <r>
      <rPr>
        <sz val="11"/>
        <color theme="1"/>
        <rFont val="Calibri"/>
        <family val="2"/>
        <charset val="238"/>
        <scheme val="minor"/>
      </rPr>
      <t>" to  48")</t>
    </r>
  </si>
  <si>
    <t>E-CTFE (-20 to +120 °C, DN300 to DN1200) (-4 °F to +248 °F for 12" to 48")</t>
  </si>
  <si>
    <t>PVDF (-20  to +120 °C, DN6 to DN10) (-4 °F to +248 °F for 1/8" to 1/4")</t>
  </si>
  <si>
    <r>
      <t xml:space="preserve">Teflon PTFE (-20 to +150 °C, DN15 to DN1200) (-4 °F to +302 °F for </t>
    </r>
    <r>
      <rPr>
        <sz val="11"/>
        <color theme="1"/>
        <rFont val="Calibri"/>
        <family val="2"/>
        <charset val="238"/>
      </rPr>
      <t>1/2</t>
    </r>
    <r>
      <rPr>
        <sz val="11"/>
        <color theme="1"/>
        <rFont val="Calibri"/>
        <family val="2"/>
        <charset val="238"/>
        <scheme val="minor"/>
      </rPr>
      <t>" to 48")</t>
    </r>
  </si>
  <si>
    <t>50 °C / 122 °F</t>
  </si>
  <si>
    <t>60 °C / 140°F</t>
  </si>
  <si>
    <t>80 °C  /176°F</t>
  </si>
  <si>
    <t>90 °C / 194°F</t>
  </si>
  <si>
    <t>110 °C / 230°F</t>
  </si>
  <si>
    <t>120 °C / 248°F</t>
  </si>
  <si>
    <t>130 °C / 266°F</t>
  </si>
  <si>
    <t>150 °C / 302°F</t>
  </si>
  <si>
    <t>ASME (ANSI) B16.5 (max. 24")</t>
  </si>
  <si>
    <t>X</t>
  </si>
  <si>
    <t>25 (standard)</t>
  </si>
  <si>
    <t>Above standard calibration, accuracy ±0.5% (in range 1:20)</t>
  </si>
  <si>
    <t>Above standard calibration, accuracy ±0.2% (in range 1:10)</t>
  </si>
  <si>
    <t>Žádná (dávkování není požadováno)</t>
  </si>
  <si>
    <t>Žádná jednotka (provedení ECONOMIC)</t>
  </si>
  <si>
    <t>Bez výběru položek (provedení ECONOMIC)</t>
  </si>
  <si>
    <t>Žádná jednotka (impulzní číslo není požadováno)</t>
  </si>
  <si>
    <t>IP 67 (above standard)</t>
  </si>
  <si>
    <t>19 - Krytí skříňky elektroniky</t>
  </si>
  <si>
    <t>20 - Indikace nezaplaveného potrubí</t>
  </si>
  <si>
    <t>21 - Druh tekutiny dle PED 2014/68/EU</t>
  </si>
  <si>
    <t>22 - Kategorie dle PED 2014/68/EU</t>
  </si>
  <si>
    <t>23 - Popis měřené tekutiny</t>
  </si>
  <si>
    <t>24 - Zemnicí kroužky</t>
  </si>
  <si>
    <t>25 - Délka kabelů</t>
  </si>
  <si>
    <t>Transmitter protection class</t>
  </si>
  <si>
    <t>27 - Druh měření</t>
  </si>
  <si>
    <t>28 - Necitlivost měření</t>
  </si>
  <si>
    <t>29 - Dávkování</t>
  </si>
  <si>
    <t>30 - Velikost dávky</t>
  </si>
  <si>
    <t>31 - Počet vzorků pro průměrování</t>
  </si>
  <si>
    <t>32 - Jednotky zobrazovaného průtoku</t>
  </si>
  <si>
    <t>33 - Impulzní číslo</t>
  </si>
  <si>
    <t>34 - Jednotky impulzního čísla</t>
  </si>
  <si>
    <t>35 - Výběr položek v nastavení menu</t>
  </si>
  <si>
    <t>36 - Aktivace chyb</t>
  </si>
  <si>
    <r>
      <t>37 - Proudový výstup - průtok pro I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max </t>
    </r>
    <r>
      <rPr>
        <b/>
        <sz val="11"/>
        <color theme="1"/>
        <rFont val="Calibri"/>
        <family val="2"/>
        <charset val="238"/>
        <scheme val="minor"/>
      </rPr>
      <t>= Q</t>
    </r>
    <r>
      <rPr>
        <vertAlign val="subscript"/>
        <sz val="11"/>
        <color theme="1"/>
        <rFont val="Calibri"/>
        <family val="2"/>
        <charset val="238"/>
        <scheme val="minor"/>
      </rPr>
      <t>max</t>
    </r>
  </si>
  <si>
    <t>38 - Funkce výstupu OUT 1</t>
  </si>
  <si>
    <t>39 - Funkce výstupu OUT 2</t>
  </si>
  <si>
    <t>40 - Funkce relé</t>
  </si>
  <si>
    <t>41 - Electrode cleaning</t>
  </si>
  <si>
    <t>42 - Zobrazovací jazyk</t>
  </si>
  <si>
    <t>44 - Rozhraní</t>
  </si>
  <si>
    <t>45 - Adresa</t>
  </si>
  <si>
    <t>46 - Skupina</t>
  </si>
  <si>
    <t>47 - Rychlost přenosu</t>
  </si>
  <si>
    <t>48 - Parita</t>
  </si>
  <si>
    <t>50 - Kalibrace</t>
  </si>
  <si>
    <t>52 - Počet kusů</t>
  </si>
  <si>
    <t>53 - Balení</t>
  </si>
  <si>
    <t>54 - Způsob předání</t>
  </si>
  <si>
    <t>55 - Záruka</t>
  </si>
  <si>
    <t>Customer´s  responsible person</t>
  </si>
  <si>
    <t>ELIS responsible person</t>
  </si>
  <si>
    <t>US gal/h</t>
  </si>
  <si>
    <t>Sloupec pro zápis návrhu úprav</t>
  </si>
  <si>
    <r>
      <t>Přepočet m</t>
    </r>
    <r>
      <rPr>
        <b/>
        <sz val="11"/>
        <rFont val="Calibri"/>
        <family val="2"/>
        <charset val="238"/>
      </rPr>
      <t>³</t>
    </r>
    <r>
      <rPr>
        <b/>
        <sz val="11"/>
        <rFont val="Calibri"/>
        <family val="2"/>
        <charset val="238"/>
        <scheme val="minor"/>
      </rPr>
      <t xml:space="preserve"> na US Gal</t>
    </r>
  </si>
  <si>
    <t>DN6 ~ 1 m³/h  (NPS 1/4" ~ 4.4 US GPM)</t>
  </si>
  <si>
    <t>DN8 ~ 1.8 m³/h  (NPS 3/10" ~ 7.9 US GPM)</t>
  </si>
  <si>
    <t>DN10 ~ 2.8 m³/h  (NPS 3/8" ~ 12.3 US GPM)</t>
  </si>
  <si>
    <t>DN15 ~ 6.5 m³/h  (NPS 1/2" ~ 28.6 US GPM)</t>
  </si>
  <si>
    <t>DN20 ~ 12 m³/h  (NPS 3/4" ~ 52.8 US GPM)</t>
  </si>
  <si>
    <t>DN25 ~ 18 m³/h  (NPS 1" ~ 79.3 US GPM)</t>
  </si>
  <si>
    <t>DN32 ~ 30 m³/h  (NPS 1¼" ~ 132.1 US GPM)</t>
  </si>
  <si>
    <t>DN40 ~ 45 m³/h  (NPS 1½" ~ 198.1 US GPM)</t>
  </si>
  <si>
    <t>DN50 ~ 72 m³/h  (NPS 2" ~ 317 US GPM)</t>
  </si>
  <si>
    <t>DN65 ~ 120 m³/h  (NPS 2½" ~ 528.3 US GPM)</t>
  </si>
  <si>
    <t>DN80 ~ 180 m³/h  (NPS 3" ~ 792.5 US GPM)</t>
  </si>
  <si>
    <t>DN100 ~ 280 m³/h  (NPS 4" ~ 1 233 US GPM)</t>
  </si>
  <si>
    <t>DN125 ~ 430 m³/h  (NPS 5" ~ 1 893 US GPM)</t>
  </si>
  <si>
    <t>DN150 ~ 650 m³/h  (NPS 6" ~ 2 862 US GPM)</t>
  </si>
  <si>
    <t>DN200 ~ 1 150 m³/h  (NPS 8" ~ 5 063 US GPM)</t>
  </si>
  <si>
    <t>DN250 ~ 1 800 m³/h  (NPS 10" ~ 7 925 US GPM)</t>
  </si>
  <si>
    <t>DN300 ~ 2 520 m³/h  (NPS 12" ~ 11 095 US GPM)</t>
  </si>
  <si>
    <t>DN350 ~ 3 500 m³/h  (NPS 14" ~ 15 410 US GPM)</t>
  </si>
  <si>
    <t>DN400 ~ 4 500 m³/h  (NPS 16" ~ 19 813 US GPM)</t>
  </si>
  <si>
    <t>DN500 ~ 7 200 m³/h  (NPS 20" ~ 31 701 US GPM)</t>
  </si>
  <si>
    <t>DN600 ~ 10 000 m³/h  (NPS 24" ~ 44 029 US GPM)</t>
  </si>
  <si>
    <r>
      <t>US gal/m</t>
    </r>
    <r>
      <rPr>
        <sz val="9"/>
        <color theme="1"/>
        <rFont val="Calibri"/>
        <family val="2"/>
        <charset val="238"/>
      </rPr>
      <t>³</t>
    </r>
    <r>
      <rPr>
        <sz val="9"/>
        <color theme="1"/>
        <rFont val="Calibri"/>
        <family val="2"/>
        <charset val="238"/>
        <scheme val="minor"/>
      </rPr>
      <t xml:space="preserve">: </t>
    </r>
  </si>
  <si>
    <r>
      <t>m</t>
    </r>
    <r>
      <rPr>
        <sz val="9"/>
        <rFont val="Calibri"/>
        <family val="2"/>
        <charset val="238"/>
      </rPr>
      <t>³</t>
    </r>
    <r>
      <rPr>
        <sz val="9"/>
        <rFont val="Calibri"/>
        <family val="2"/>
        <charset val="238"/>
        <scheme val="minor"/>
      </rPr>
      <t>/h</t>
    </r>
  </si>
  <si>
    <t>US GPM
(US gal/min)</t>
  </si>
  <si>
    <t>DN700 ~ 14 000 m³/h  (NPS 28" ~ 61 640 US GPM)</t>
  </si>
  <si>
    <t>DN800 ~ 18 000 m³/h  (NPS 32" ~ 79 252 US GPM)</t>
  </si>
  <si>
    <t>DN900 ~ 23 000 m³/h  (NPS 36" ~ 101 266 US GPM)</t>
  </si>
  <si>
    <t>DN1000 ~ 28 000 m³/h  (NPS 40" ~ 123 280 US GPM)</t>
  </si>
  <si>
    <t>DN1200 ~ 40 000 m³/h  (NPS 48" ~ 176 115 US GPM)</t>
  </si>
  <si>
    <t>AWWA C207 (28" and larger)</t>
  </si>
  <si>
    <t>Sensor body and flanges (for flanged version) are made of carbon steel, polyurethane coating (standardly)</t>
  </si>
  <si>
    <t>IP 67 (standardly)</t>
  </si>
  <si>
    <t>IP 65 (standardly)</t>
  </si>
  <si>
    <t>5 m/16 ft (standardly)</t>
  </si>
  <si>
    <t>Bi-directional (standardly)</t>
  </si>
  <si>
    <t>l/pulse (standardly)</t>
  </si>
  <si>
    <t>Flow rate (standardly)</t>
  </si>
  <si>
    <t>Enabled E0 to E13 (standardly)</t>
  </si>
  <si>
    <t xml:space="preserve"> -Qmax to +Qmax  ~   4 to 20 mA (standardly)</t>
  </si>
  <si>
    <t>Frequency for |Q| 
0 to Qmax  ~  0 to 1 kHz (standardly)</t>
  </si>
  <si>
    <t>Pulses for |Q| (standardly)</t>
  </si>
  <si>
    <t>Not required (standardly)</t>
  </si>
  <si>
    <t>Czech/English/Dutch/Spanish (standardly)</t>
  </si>
  <si>
    <t>9 600 Bd (standardly)</t>
  </si>
  <si>
    <t>SL (standardly)</t>
  </si>
  <si>
    <t>12 months (standardly)</t>
  </si>
  <si>
    <t>m³/hr (standardly)</t>
  </si>
  <si>
    <t>BS 4504</t>
  </si>
  <si>
    <t>Ordering number</t>
  </si>
  <si>
    <t>IP 65 (standardly for compact)</t>
  </si>
  <si>
    <t>IP 68 - for remote version (above standardly)</t>
  </si>
  <si>
    <t>Es90155F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</si>
</sst>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d\.\ mmmm\ yyyy;@"/>
    <numFmt numFmtId="165" formatCode="000"/>
    <numFmt numFmtId="166" formatCode="#,##0.0"/>
    <numFmt numFmtId="167" formatCode="0.00000000000"/>
  </numFmts>
  <fonts count="7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bscript"/>
      <sz val="10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bscript"/>
      <sz val="11"/>
      <color rgb="FF000000"/>
      <name val="Calibri"/>
      <family val="2"/>
      <charset val="238"/>
    </font>
    <font>
      <b/>
      <sz val="18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theme="0" tint="-0.34998626667073579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b/>
      <sz val="10"/>
      <color rgb="FF33993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990033"/>
      <name val="Calibri"/>
      <family val="2"/>
      <charset val="238"/>
      <scheme val="minor"/>
    </font>
    <font>
      <sz val="10"/>
      <color theme="0" tint="-0.24997711111789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rgb="FF222222"/>
      <name val="Segoe UI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vertAlign val="subscript"/>
      <sz val="9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sz val="11"/>
      <color rgb="FF0000CC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auto="1"/>
      </pattern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  <fill>
      <patternFill patternType="solid">
        <fgColor theme="0" tint="-0.14996795556505021"/>
        <bgColor auto="1"/>
      </patternFill>
    </fill>
    <fill>
      <gradientFill type="path" left="0.5" right="0.5" top="0.5" bottom="0.5">
        <stop position="0">
          <color theme="9" tint="0.80001220740379042"/>
        </stop>
        <stop position="1">
          <color theme="0" tint="-0.1490218817712943"/>
        </stop>
      </gradient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theme="0" tint="-0.14993743705557422"/>
      </right>
      <top/>
      <bottom style="mediumDashed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/>
      <diagonal/>
    </border>
    <border>
      <left style="dotted">
        <color rgb="FF990033"/>
      </left>
      <right style="dotted">
        <color rgb="FF990033"/>
      </right>
      <top/>
      <bottom/>
      <diagonal/>
    </border>
    <border>
      <left style="dotted">
        <color rgb="FF990033"/>
      </left>
      <right style="dotted">
        <color rgb="FF990033"/>
      </right>
      <top/>
      <bottom style="dotted">
        <color rgb="FF990033"/>
      </bottom>
      <diagonal/>
    </border>
    <border>
      <left/>
      <right/>
      <top style="thin">
        <color rgb="FFFF0000"/>
      </top>
      <bottom/>
      <diagonal/>
    </border>
    <border>
      <left/>
      <right/>
      <top style="dashed">
        <color theme="0" tint="-0.24994659260841701"/>
      </top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49" fontId="16" fillId="2" borderId="0" xfId="0" applyNumberFormat="1" applyFont="1" applyFill="1" applyAlignment="1">
      <alignment vertical="center"/>
    </xf>
    <xf numFmtId="49" fontId="16" fillId="2" borderId="0" xfId="0" applyNumberFormat="1" applyFont="1" applyFill="1" applyAlignment="1">
      <alignment vertical="center" wrapText="1"/>
    </xf>
    <xf numFmtId="0" fontId="21" fillId="0" borderId="0" xfId="0" applyFont="1" applyAlignment="1">
      <alignment horizont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0" fillId="3" borderId="0" xfId="0" applyFill="1" applyAlignment="1">
      <alignment horizontal="right" vertical="center" indent="1"/>
    </xf>
    <xf numFmtId="0" fontId="0" fillId="3" borderId="1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10" xfId="0" applyFont="1" applyFill="1" applyBorder="1" applyAlignment="1">
      <alignment horizontal="right" vertical="center" indent="1"/>
    </xf>
    <xf numFmtId="0" fontId="0" fillId="3" borderId="12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3" fillId="3" borderId="1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indent="1"/>
    </xf>
    <xf numFmtId="0" fontId="0" fillId="0" borderId="0" xfId="0" applyAlignment="1" applyProtection="1">
      <alignment vertical="center"/>
      <protection hidden="1"/>
    </xf>
    <xf numFmtId="49" fontId="8" fillId="0" borderId="0" xfId="0" applyNumberFormat="1" applyFont="1" applyAlignment="1" applyProtection="1">
      <alignment horizontal="lef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4" fillId="0" borderId="0" xfId="0" applyFont="1" applyAlignment="1" applyProtection="1">
      <alignment wrapText="1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4" fillId="4" borderId="0" xfId="0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4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4" fontId="0" fillId="0" borderId="7" xfId="0" applyNumberForma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hidden="1"/>
    </xf>
    <xf numFmtId="49" fontId="26" fillId="0" borderId="0" xfId="0" applyNumberFormat="1" applyFont="1" applyAlignment="1" applyProtection="1">
      <alignment horizontal="right" vertical="center"/>
      <protection hidden="1"/>
    </xf>
    <xf numFmtId="49" fontId="16" fillId="0" borderId="0" xfId="0" applyNumberFormat="1" applyFont="1" applyAlignment="1" applyProtection="1">
      <alignment horizontal="right" vertical="center"/>
      <protection hidden="1"/>
    </xf>
    <xf numFmtId="49" fontId="30" fillId="0" borderId="0" xfId="0" applyNumberFormat="1" applyFont="1" applyAlignment="1" applyProtection="1">
      <alignment horizontal="right" vertical="center"/>
      <protection hidden="1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vertical="center" wrapText="1"/>
      <protection locked="0"/>
    </xf>
    <xf numFmtId="49" fontId="1" fillId="0" borderId="27" xfId="0" applyNumberFormat="1" applyFont="1" applyBorder="1" applyAlignment="1" applyProtection="1">
      <alignment vertical="center" wrapText="1"/>
      <protection locked="0"/>
    </xf>
    <xf numFmtId="49" fontId="1" fillId="0" borderId="28" xfId="0" applyNumberFormat="1" applyFont="1" applyBorder="1" applyAlignment="1" applyProtection="1">
      <alignment horizontal="left" vertical="center" wrapText="1"/>
      <protection locked="0"/>
    </xf>
    <xf numFmtId="0" fontId="44" fillId="0" borderId="0" xfId="0" applyFont="1"/>
    <xf numFmtId="0" fontId="47" fillId="0" borderId="3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8" borderId="32" xfId="0" applyFont="1" applyFill="1" applyBorder="1" applyAlignment="1">
      <alignment horizontal="center" vertical="center"/>
    </xf>
    <xf numFmtId="0" fontId="48" fillId="8" borderId="32" xfId="0" applyFont="1" applyFill="1" applyBorder="1" applyAlignment="1">
      <alignment horizontal="center" vertical="center"/>
    </xf>
    <xf numFmtId="0" fontId="47" fillId="8" borderId="13" xfId="0" applyFont="1" applyFill="1" applyBorder="1" applyAlignment="1">
      <alignment horizontal="center" vertical="center"/>
    </xf>
    <xf numFmtId="0" fontId="48" fillId="8" borderId="13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vertical="center" wrapText="1"/>
      <protection locked="0"/>
    </xf>
    <xf numFmtId="0" fontId="50" fillId="0" borderId="0" xfId="0" applyFont="1" applyAlignment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52" fillId="0" borderId="10" xfId="0" applyNumberFormat="1" applyFont="1" applyBorder="1" applyAlignment="1" applyProtection="1">
      <alignment horizontal="center" vertical="center"/>
      <protection hidden="1"/>
    </xf>
    <xf numFmtId="49" fontId="21" fillId="0" borderId="0" xfId="0" applyNumberFormat="1" applyFont="1" applyAlignment="1">
      <alignment vertical="center"/>
    </xf>
    <xf numFmtId="49" fontId="22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0" fillId="3" borderId="9" xfId="0" applyFill="1" applyBorder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2" fillId="3" borderId="15" xfId="0" applyFont="1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16" fillId="9" borderId="16" xfId="0" applyFont="1" applyFill="1" applyBorder="1" applyAlignment="1" applyProtection="1">
      <alignment vertical="center"/>
      <protection hidden="1"/>
    </xf>
    <xf numFmtId="0" fontId="24" fillId="0" borderId="40" xfId="0" applyFont="1" applyBorder="1" applyProtection="1">
      <protection hidden="1"/>
    </xf>
    <xf numFmtId="0" fontId="24" fillId="0" borderId="41" xfId="0" applyFont="1" applyBorder="1" applyProtection="1">
      <protection hidden="1"/>
    </xf>
    <xf numFmtId="0" fontId="24" fillId="0" borderId="42" xfId="0" applyFont="1" applyBorder="1" applyProtection="1">
      <protection hidden="1"/>
    </xf>
    <xf numFmtId="0" fontId="24" fillId="0" borderId="39" xfId="0" applyFont="1" applyBorder="1" applyAlignment="1" applyProtection="1">
      <alignment wrapText="1"/>
      <protection hidden="1"/>
    </xf>
    <xf numFmtId="0" fontId="55" fillId="0" borderId="6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32" fillId="9" borderId="0" xfId="0" applyFont="1" applyFill="1" applyAlignment="1" applyProtection="1">
      <alignment vertical="center"/>
      <protection hidden="1"/>
    </xf>
    <xf numFmtId="0" fontId="0" fillId="9" borderId="0" xfId="0" applyFill="1" applyAlignment="1" applyProtection="1">
      <alignment vertical="center"/>
      <protection hidden="1"/>
    </xf>
    <xf numFmtId="0" fontId="60" fillId="10" borderId="0" xfId="0" applyFont="1" applyFill="1"/>
    <xf numFmtId="0" fontId="59" fillId="10" borderId="0" xfId="0" applyFont="1" applyFill="1"/>
    <xf numFmtId="0" fontId="61" fillId="10" borderId="0" xfId="0" applyFont="1" applyFill="1"/>
    <xf numFmtId="0" fontId="47" fillId="8" borderId="31" xfId="0" applyFont="1" applyFill="1" applyBorder="1" applyAlignment="1">
      <alignment horizontal="center" vertical="center"/>
    </xf>
    <xf numFmtId="0" fontId="47" fillId="0" borderId="31" xfId="0" applyFont="1" applyBorder="1" applyAlignment="1">
      <alignment horizontal="center" vertical="center"/>
    </xf>
    <xf numFmtId="0" fontId="63" fillId="8" borderId="32" xfId="0" applyFont="1" applyFill="1" applyBorder="1" applyAlignment="1">
      <alignment horizontal="center" vertical="center"/>
    </xf>
    <xf numFmtId="0" fontId="63" fillId="8" borderId="13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1" fontId="0" fillId="0" borderId="0" xfId="0" applyNumberFormat="1" applyAlignment="1">
      <alignment horizontal="center" vertical="center"/>
    </xf>
    <xf numFmtId="0" fontId="34" fillId="9" borderId="16" xfId="0" applyFont="1" applyFill="1" applyBorder="1" applyAlignment="1" applyProtection="1">
      <alignment vertical="center"/>
      <protection locked="0" hidden="1"/>
    </xf>
    <xf numFmtId="166" fontId="64" fillId="0" borderId="0" xfId="0" applyNumberFormat="1" applyFont="1"/>
    <xf numFmtId="3" fontId="64" fillId="0" borderId="0" xfId="0" applyNumberFormat="1" applyFont="1"/>
    <xf numFmtId="3" fontId="16" fillId="0" borderId="0" xfId="0" applyNumberFormat="1" applyFont="1"/>
    <xf numFmtId="0" fontId="0" fillId="0" borderId="0" xfId="0" applyProtection="1">
      <protection locked="0"/>
    </xf>
    <xf numFmtId="0" fontId="66" fillId="0" borderId="0" xfId="0" applyFont="1"/>
    <xf numFmtId="166" fontId="66" fillId="0" borderId="0" xfId="0" applyNumberFormat="1" applyFont="1"/>
    <xf numFmtId="3" fontId="66" fillId="0" borderId="0" xfId="0" applyNumberFormat="1" applyFont="1"/>
    <xf numFmtId="167" fontId="35" fillId="0" borderId="0" xfId="0" applyNumberFormat="1" applyFont="1" applyAlignment="1">
      <alignment horizontal="left" vertical="top"/>
    </xf>
    <xf numFmtId="0" fontId="68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2" borderId="43" xfId="0" applyFill="1" applyBorder="1" applyAlignment="1">
      <alignment vertical="center"/>
    </xf>
    <xf numFmtId="0" fontId="65" fillId="11" borderId="0" xfId="0" applyFont="1" applyFill="1" applyAlignment="1">
      <alignment horizontal="center"/>
    </xf>
    <xf numFmtId="0" fontId="0" fillId="3" borderId="9" xfId="0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0" fillId="12" borderId="0" xfId="0" applyFill="1" applyAlignment="1">
      <alignment vertical="center"/>
    </xf>
    <xf numFmtId="0" fontId="0" fillId="12" borderId="19" xfId="0" applyFill="1" applyBorder="1" applyAlignment="1">
      <alignment vertical="center"/>
    </xf>
    <xf numFmtId="0" fontId="2" fillId="12" borderId="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left" vertical="center" indent="1"/>
    </xf>
    <xf numFmtId="0" fontId="0" fillId="12" borderId="2" xfId="0" applyFill="1" applyBorder="1" applyAlignment="1">
      <alignment vertical="center"/>
    </xf>
    <xf numFmtId="0" fontId="2" fillId="12" borderId="3" xfId="0" applyFont="1" applyFill="1" applyBorder="1" applyAlignment="1">
      <alignment horizontal="center" vertical="center"/>
    </xf>
    <xf numFmtId="0" fontId="33" fillId="12" borderId="0" xfId="0" applyFont="1" applyFill="1" applyAlignment="1" applyProtection="1">
      <alignment horizontal="center" vertical="center" wrapText="1"/>
      <protection hidden="1"/>
    </xf>
    <xf numFmtId="0" fontId="24" fillId="12" borderId="0" xfId="0" applyFont="1" applyFill="1" applyAlignment="1" applyProtection="1">
      <alignment vertical="center" wrapText="1"/>
      <protection hidden="1"/>
    </xf>
    <xf numFmtId="0" fontId="23" fillId="12" borderId="1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left" vertical="center" wrapText="1"/>
    </xf>
    <xf numFmtId="0" fontId="56" fillId="13" borderId="37" xfId="0" applyFont="1" applyFill="1" applyBorder="1" applyAlignment="1" applyProtection="1">
      <alignment horizontal="center" vertical="center" wrapText="1"/>
      <protection hidden="1"/>
    </xf>
    <xf numFmtId="0" fontId="57" fillId="14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2" fillId="14" borderId="0" xfId="0" applyFont="1" applyFill="1" applyAlignment="1">
      <alignment vertical="center"/>
    </xf>
    <xf numFmtId="0" fontId="33" fillId="16" borderId="0" xfId="0" applyFont="1" applyFill="1" applyAlignment="1" applyProtection="1">
      <alignment horizontal="center" vertical="center" wrapText="1"/>
      <protection hidden="1"/>
    </xf>
    <xf numFmtId="0" fontId="24" fillId="17" borderId="0" xfId="0" applyFont="1" applyFill="1" applyAlignment="1" applyProtection="1">
      <alignment horizontal="center" vertical="center"/>
      <protection hidden="1"/>
    </xf>
    <xf numFmtId="49" fontId="70" fillId="1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13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0" fontId="5" fillId="13" borderId="0" xfId="0" applyFont="1" applyFill="1" applyAlignment="1">
      <alignment horizontal="center" vertical="center"/>
    </xf>
    <xf numFmtId="0" fontId="33" fillId="13" borderId="0" xfId="0" applyFont="1" applyFill="1" applyAlignment="1" applyProtection="1">
      <alignment horizontal="center" vertical="center" wrapText="1"/>
      <protection hidden="1"/>
    </xf>
    <xf numFmtId="0" fontId="24" fillId="13" borderId="0" xfId="0" applyFont="1" applyFill="1" applyAlignment="1" applyProtection="1">
      <alignment horizontal="center" vertical="center"/>
      <protection hidden="1"/>
    </xf>
    <xf numFmtId="0" fontId="0" fillId="13" borderId="19" xfId="0" applyFill="1" applyBorder="1" applyAlignment="1">
      <alignment vertical="center"/>
    </xf>
    <xf numFmtId="0" fontId="31" fillId="13" borderId="0" xfId="0" applyFont="1" applyFill="1" applyAlignment="1">
      <alignment vertical="center"/>
    </xf>
    <xf numFmtId="0" fontId="0" fillId="13" borderId="0" xfId="0" applyFill="1"/>
    <xf numFmtId="0" fontId="5" fillId="13" borderId="0" xfId="0" applyFont="1" applyFill="1" applyAlignment="1">
      <alignment horizontal="center"/>
    </xf>
    <xf numFmtId="0" fontId="2" fillId="13" borderId="0" xfId="0" applyFont="1" applyFill="1" applyAlignment="1">
      <alignment vertical="center"/>
    </xf>
    <xf numFmtId="0" fontId="2" fillId="13" borderId="21" xfId="0" applyFont="1" applyFill="1" applyBorder="1" applyAlignment="1">
      <alignment vertical="center"/>
    </xf>
    <xf numFmtId="0" fontId="2" fillId="13" borderId="0" xfId="0" applyFont="1" applyFill="1" applyAlignment="1">
      <alignment horizontal="right" vertical="center" indent="1"/>
    </xf>
    <xf numFmtId="0" fontId="0" fillId="13" borderId="0" xfId="0" applyFill="1" applyAlignment="1">
      <alignment horizontal="right" vertical="center" indent="1"/>
    </xf>
    <xf numFmtId="0" fontId="5" fillId="13" borderId="0" xfId="0" applyFont="1" applyFill="1" applyAlignment="1" applyProtection="1">
      <alignment horizontal="center" vertical="center"/>
      <protection hidden="1"/>
    </xf>
    <xf numFmtId="0" fontId="35" fillId="13" borderId="0" xfId="0" applyFont="1" applyFill="1" applyAlignment="1" applyProtection="1">
      <alignment vertical="center" wrapText="1"/>
      <protection hidden="1"/>
    </xf>
    <xf numFmtId="0" fontId="10" fillId="13" borderId="0" xfId="0" applyFont="1" applyFill="1" applyAlignment="1" applyProtection="1">
      <alignment vertical="center" wrapText="1"/>
      <protection hidden="1"/>
    </xf>
    <xf numFmtId="0" fontId="2" fillId="13" borderId="0" xfId="0" applyFont="1" applyFill="1" applyAlignment="1" applyProtection="1">
      <alignment vertical="center" wrapText="1"/>
      <protection hidden="1"/>
    </xf>
    <xf numFmtId="0" fontId="53" fillId="13" borderId="0" xfId="0" applyFont="1" applyFill="1" applyAlignment="1">
      <alignment horizontal="right" vertical="center" indent="1"/>
    </xf>
    <xf numFmtId="0" fontId="37" fillId="13" borderId="0" xfId="0" applyFont="1" applyFill="1" applyAlignment="1" applyProtection="1">
      <alignment vertical="center" wrapText="1"/>
      <protection hidden="1"/>
    </xf>
    <xf numFmtId="0" fontId="0" fillId="13" borderId="0" xfId="0" applyFill="1" applyAlignment="1">
      <alignment horizontal="right" vertical="center" wrapText="1" indent="1"/>
    </xf>
    <xf numFmtId="0" fontId="2" fillId="13" borderId="36" xfId="0" applyFont="1" applyFill="1" applyBorder="1" applyAlignment="1">
      <alignment vertical="center"/>
    </xf>
    <xf numFmtId="0" fontId="54" fillId="13" borderId="21" xfId="0" applyFont="1" applyFill="1" applyBorder="1" applyAlignment="1">
      <alignment horizontal="right" vertical="top"/>
    </xf>
    <xf numFmtId="1" fontId="5" fillId="13" borderId="0" xfId="0" applyNumberFormat="1" applyFont="1" applyFill="1" applyAlignment="1" applyProtection="1">
      <alignment horizontal="center" vertical="center"/>
      <protection hidden="1"/>
    </xf>
    <xf numFmtId="0" fontId="0" fillId="13" borderId="21" xfId="0" applyFill="1" applyBorder="1" applyAlignment="1">
      <alignment vertical="center"/>
    </xf>
    <xf numFmtId="165" fontId="5" fillId="13" borderId="0" xfId="0" applyNumberFormat="1" applyFont="1" applyFill="1" applyAlignment="1" applyProtection="1">
      <alignment horizontal="center" vertical="center"/>
      <protection hidden="1"/>
    </xf>
    <xf numFmtId="0" fontId="2" fillId="13" borderId="10" xfId="0" applyFont="1" applyFill="1" applyBorder="1" applyAlignment="1">
      <alignment vertical="center"/>
    </xf>
    <xf numFmtId="0" fontId="2" fillId="13" borderId="9" xfId="0" applyFont="1" applyFill="1" applyBorder="1" applyAlignment="1">
      <alignment horizontal="right" vertical="center" indent="1"/>
    </xf>
    <xf numFmtId="0" fontId="0" fillId="13" borderId="9" xfId="0" applyFill="1" applyBorder="1" applyAlignment="1">
      <alignment horizontal="right" vertical="center" indent="1"/>
    </xf>
    <xf numFmtId="0" fontId="1" fillId="13" borderId="38" xfId="0" applyFont="1" applyFill="1" applyBorder="1" applyAlignment="1">
      <alignment vertical="center" wrapText="1"/>
    </xf>
    <xf numFmtId="0" fontId="5" fillId="13" borderId="9" xfId="0" applyFont="1" applyFill="1" applyBorder="1" applyAlignment="1" applyProtection="1">
      <alignment horizontal="center" vertical="center"/>
      <protection hidden="1"/>
    </xf>
    <xf numFmtId="0" fontId="0" fillId="13" borderId="16" xfId="0" applyFill="1" applyBorder="1" applyAlignment="1">
      <alignment vertical="center"/>
    </xf>
    <xf numFmtId="0" fontId="35" fillId="13" borderId="16" xfId="0" applyFont="1" applyFill="1" applyBorder="1" applyAlignment="1" applyProtection="1">
      <alignment vertical="center" wrapText="1"/>
      <protection hidden="1"/>
    </xf>
    <xf numFmtId="0" fontId="2" fillId="13" borderId="16" xfId="0" applyFont="1" applyFill="1" applyBorder="1" applyAlignment="1" applyProtection="1">
      <alignment vertical="center" wrapText="1"/>
      <protection hidden="1"/>
    </xf>
    <xf numFmtId="0" fontId="0" fillId="13" borderId="20" xfId="0" applyFill="1" applyBorder="1" applyAlignment="1">
      <alignment vertical="center"/>
    </xf>
    <xf numFmtId="0" fontId="2" fillId="13" borderId="37" xfId="0" applyFont="1" applyFill="1" applyBorder="1" applyAlignment="1">
      <alignment horizontal="right" vertical="center" indent="1"/>
    </xf>
    <xf numFmtId="0" fontId="0" fillId="13" borderId="37" xfId="0" applyFill="1" applyBorder="1" applyAlignment="1">
      <alignment horizontal="right" vertical="center" indent="1"/>
    </xf>
    <xf numFmtId="0" fontId="9" fillId="13" borderId="22" xfId="0" applyFont="1" applyFill="1" applyBorder="1" applyAlignment="1">
      <alignment vertical="center"/>
    </xf>
    <xf numFmtId="0" fontId="9" fillId="13" borderId="17" xfId="0" applyFont="1" applyFill="1" applyBorder="1" applyAlignment="1">
      <alignment vertical="center"/>
    </xf>
    <xf numFmtId="0" fontId="0" fillId="13" borderId="17" xfId="0" applyFill="1" applyBorder="1" applyAlignment="1">
      <alignment vertical="center"/>
    </xf>
    <xf numFmtId="0" fontId="10" fillId="13" borderId="17" xfId="0" applyFont="1" applyFill="1" applyBorder="1" applyAlignment="1" applyProtection="1">
      <alignment vertical="center"/>
      <protection hidden="1"/>
    </xf>
    <xf numFmtId="0" fontId="33" fillId="13" borderId="17" xfId="0" applyFont="1" applyFill="1" applyBorder="1" applyProtection="1">
      <protection hidden="1"/>
    </xf>
    <xf numFmtId="0" fontId="27" fillId="13" borderId="17" xfId="0" applyFont="1" applyFill="1" applyBorder="1" applyProtection="1">
      <protection hidden="1"/>
    </xf>
    <xf numFmtId="0" fontId="49" fillId="13" borderId="18" xfId="0" applyFont="1" applyFill="1" applyBorder="1" applyAlignment="1">
      <alignment horizontal="right" vertical="center"/>
    </xf>
    <xf numFmtId="0" fontId="22" fillId="13" borderId="24" xfId="0" applyFont="1" applyFill="1" applyBorder="1" applyAlignment="1" applyProtection="1">
      <alignment vertical="center"/>
      <protection hidden="1"/>
    </xf>
    <xf numFmtId="0" fontId="0" fillId="13" borderId="0" xfId="0" applyFill="1" applyAlignment="1" applyProtection="1">
      <alignment vertical="center"/>
      <protection hidden="1"/>
    </xf>
    <xf numFmtId="0" fontId="33" fillId="13" borderId="0" xfId="0" applyFont="1" applyFill="1" applyAlignment="1" applyProtection="1">
      <alignment vertical="top"/>
      <protection hidden="1"/>
    </xf>
    <xf numFmtId="0" fontId="27" fillId="13" borderId="0" xfId="0" applyFont="1" applyFill="1" applyAlignment="1" applyProtection="1">
      <alignment vertical="top"/>
      <protection hidden="1"/>
    </xf>
    <xf numFmtId="0" fontId="22" fillId="13" borderId="23" xfId="0" applyFont="1" applyFill="1" applyBorder="1" applyAlignment="1" applyProtection="1">
      <alignment vertical="center"/>
      <protection hidden="1"/>
    </xf>
    <xf numFmtId="0" fontId="0" fillId="13" borderId="16" xfId="0" applyFill="1" applyBorder="1" applyAlignment="1" applyProtection="1">
      <alignment vertical="center"/>
      <protection hidden="1"/>
    </xf>
    <xf numFmtId="0" fontId="28" fillId="13" borderId="16" xfId="0" applyFont="1" applyFill="1" applyBorder="1" applyAlignment="1" applyProtection="1">
      <alignment horizontal="right" vertical="center"/>
      <protection hidden="1"/>
    </xf>
    <xf numFmtId="0" fontId="29" fillId="13" borderId="16" xfId="0" applyFont="1" applyFill="1" applyBorder="1" applyAlignment="1" applyProtection="1">
      <alignment vertical="center"/>
      <protection hidden="1"/>
    </xf>
    <xf numFmtId="0" fontId="16" fillId="13" borderId="20" xfId="0" applyFont="1" applyFill="1" applyBorder="1" applyAlignment="1" applyProtection="1">
      <alignment horizontal="right" vertical="center"/>
      <protection hidden="1"/>
    </xf>
    <xf numFmtId="0" fontId="35" fillId="6" borderId="0" xfId="0" applyFont="1" applyFill="1" applyAlignment="1" applyProtection="1">
      <alignment vertical="center" wrapText="1"/>
      <protection hidden="1"/>
    </xf>
    <xf numFmtId="0" fontId="31" fillId="6" borderId="0" xfId="0" applyFont="1" applyFill="1" applyAlignment="1" applyProtection="1">
      <alignment vertical="center"/>
      <protection hidden="1"/>
    </xf>
    <xf numFmtId="0" fontId="36" fillId="5" borderId="0" xfId="0" applyFont="1" applyFill="1" applyAlignment="1" applyProtection="1">
      <alignment vertical="center" wrapText="1"/>
      <protection hidden="1"/>
    </xf>
    <xf numFmtId="0" fontId="52" fillId="5" borderId="0" xfId="0" applyFont="1" applyFill="1" applyAlignment="1" applyProtection="1">
      <alignment vertical="center" wrapText="1"/>
      <protection hidden="1"/>
    </xf>
    <xf numFmtId="0" fontId="51" fillId="19" borderId="0" xfId="0" applyFont="1" applyFill="1" applyAlignment="1" applyProtection="1">
      <alignment vertical="center" wrapText="1"/>
      <protection hidden="1"/>
    </xf>
    <xf numFmtId="0" fontId="52" fillId="7" borderId="0" xfId="0" applyFont="1" applyFill="1" applyAlignment="1" applyProtection="1">
      <alignment vertical="center" wrapText="1"/>
      <protection hidden="1"/>
    </xf>
    <xf numFmtId="0" fontId="53" fillId="18" borderId="0" xfId="0" applyFont="1" applyFill="1" applyAlignment="1">
      <alignment horizontal="right" vertical="center" indent="1"/>
    </xf>
    <xf numFmtId="0" fontId="0" fillId="13" borderId="44" xfId="0" applyFill="1" applyBorder="1" applyAlignment="1">
      <alignment horizontal="right" vertical="center" indent="1"/>
    </xf>
    <xf numFmtId="0" fontId="5" fillId="13" borderId="44" xfId="0" applyFont="1" applyFill="1" applyBorder="1" applyAlignment="1" applyProtection="1">
      <alignment horizontal="center" vertical="center"/>
      <protection hidden="1"/>
    </xf>
    <xf numFmtId="0" fontId="35" fillId="13" borderId="44" xfId="0" applyFont="1" applyFill="1" applyBorder="1" applyAlignment="1" applyProtection="1">
      <alignment vertical="center" wrapText="1"/>
      <protection hidden="1"/>
    </xf>
    <xf numFmtId="0" fontId="2" fillId="13" borderId="44" xfId="0" applyFont="1" applyFill="1" applyBorder="1" applyAlignment="1">
      <alignment vertical="center"/>
    </xf>
    <xf numFmtId="0" fontId="37" fillId="13" borderId="44" xfId="0" applyFont="1" applyFill="1" applyBorder="1" applyAlignment="1" applyProtection="1">
      <alignment vertical="center" wrapText="1"/>
      <protection hidden="1"/>
    </xf>
    <xf numFmtId="0" fontId="7" fillId="13" borderId="29" xfId="0" applyFont="1" applyFill="1" applyBorder="1" applyAlignment="1">
      <alignment horizontal="center" wrapText="1"/>
    </xf>
    <xf numFmtId="0" fontId="7" fillId="13" borderId="30" xfId="0" applyFont="1" applyFill="1" applyBorder="1" applyAlignment="1">
      <alignment horizontal="center" wrapText="1"/>
    </xf>
    <xf numFmtId="0" fontId="0" fillId="13" borderId="30" xfId="0" applyFill="1" applyBorder="1" applyAlignment="1">
      <alignment horizontal="center" vertical="top" wrapText="1"/>
    </xf>
    <xf numFmtId="0" fontId="7" fillId="13" borderId="11" xfId="0" applyFont="1" applyFill="1" applyBorder="1" applyAlignment="1">
      <alignment horizontal="center" vertical="center" wrapText="1"/>
    </xf>
    <xf numFmtId="0" fontId="42" fillId="13" borderId="11" xfId="0" applyFont="1" applyFill="1" applyBorder="1" applyAlignment="1">
      <alignment horizontal="center" vertical="center" wrapText="1"/>
    </xf>
    <xf numFmtId="0" fontId="7" fillId="13" borderId="31" xfId="0" applyFont="1" applyFill="1" applyBorder="1" applyAlignment="1">
      <alignment horizontal="center" vertical="center"/>
    </xf>
    <xf numFmtId="0" fontId="7" fillId="13" borderId="33" xfId="0" applyFont="1" applyFill="1" applyBorder="1" applyAlignment="1">
      <alignment horizontal="center" vertical="center"/>
    </xf>
    <xf numFmtId="0" fontId="7" fillId="13" borderId="29" xfId="0" applyFont="1" applyFill="1" applyBorder="1" applyAlignment="1">
      <alignment horizontal="center" vertical="center" wrapText="1"/>
    </xf>
    <xf numFmtId="0" fontId="7" fillId="13" borderId="30" xfId="0" applyFont="1" applyFill="1" applyBorder="1" applyAlignment="1">
      <alignment horizontal="center" vertical="center" wrapText="1"/>
    </xf>
    <xf numFmtId="0" fontId="38" fillId="13" borderId="14" xfId="0" applyFont="1" applyFill="1" applyBorder="1" applyAlignment="1">
      <alignment horizontal="centerContinuous" wrapText="1"/>
    </xf>
    <xf numFmtId="0" fontId="38" fillId="13" borderId="9" xfId="0" applyFont="1" applyFill="1" applyBorder="1" applyAlignment="1">
      <alignment horizontal="centerContinuous" wrapText="1"/>
    </xf>
    <xf numFmtId="0" fontId="38" fillId="13" borderId="15" xfId="0" applyFont="1" applyFill="1" applyBorder="1" applyAlignment="1">
      <alignment horizontal="centerContinuous" wrapText="1"/>
    </xf>
    <xf numFmtId="0" fontId="39" fillId="13" borderId="12" xfId="0" applyFont="1" applyFill="1" applyBorder="1" applyAlignment="1">
      <alignment horizontal="centerContinuous" vertical="top" wrapText="1"/>
    </xf>
    <xf numFmtId="0" fontId="39" fillId="13" borderId="4" xfId="0" applyFont="1" applyFill="1" applyBorder="1" applyAlignment="1">
      <alignment horizontal="centerContinuous" vertical="top" wrapText="1"/>
    </xf>
    <xf numFmtId="0" fontId="39" fillId="13" borderId="13" xfId="0" applyFont="1" applyFill="1" applyBorder="1" applyAlignment="1">
      <alignment horizontal="centerContinuous" vertical="top" wrapText="1"/>
    </xf>
    <xf numFmtId="0" fontId="7" fillId="13" borderId="34" xfId="0" applyFont="1" applyFill="1" applyBorder="1" applyAlignment="1">
      <alignment horizontal="center" vertical="center" wrapText="1"/>
    </xf>
    <xf numFmtId="0" fontId="7" fillId="13" borderId="35" xfId="0" applyFont="1" applyFill="1" applyBorder="1" applyAlignment="1">
      <alignment horizontal="center" vertical="center" wrapText="1"/>
    </xf>
    <xf numFmtId="0" fontId="42" fillId="13" borderId="3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 vertical="top" wrapText="1" indent="1"/>
      <protection locked="0"/>
    </xf>
    <xf numFmtId="0" fontId="0" fillId="3" borderId="0" xfId="0" applyFill="1" applyAlignment="1" applyProtection="1">
      <alignment horizontal="left" vertical="top" wrapText="1"/>
      <protection hidden="1"/>
    </xf>
    <xf numFmtId="0" fontId="0" fillId="3" borderId="0" xfId="0" applyFill="1" applyAlignment="1">
      <alignment horizontal="left" vertical="top" wrapText="1"/>
    </xf>
    <xf numFmtId="0" fontId="61" fillId="10" borderId="0" xfId="0" applyFont="1" applyFill="1"/>
    <xf numFmtId="0" fontId="38" fillId="13" borderId="14" xfId="0" applyFont="1" applyFill="1" applyBorder="1" applyAlignment="1">
      <alignment horizontal="center" wrapText="1"/>
    </xf>
    <xf numFmtId="0" fontId="38" fillId="4" borderId="9" xfId="0" applyFont="1" applyFill="1" applyBorder="1" applyAlignment="1">
      <alignment horizontal="center" wrapText="1"/>
    </xf>
    <xf numFmtId="0" fontId="38" fillId="4" borderId="15" xfId="0" applyFont="1" applyFill="1" applyBorder="1" applyAlignment="1">
      <alignment horizontal="center" wrapText="1"/>
    </xf>
    <xf numFmtId="0" fontId="39" fillId="13" borderId="12" xfId="0" applyFont="1" applyFill="1" applyBorder="1" applyAlignment="1">
      <alignment horizontal="center" vertical="top" wrapText="1"/>
    </xf>
    <xf numFmtId="0" fontId="39" fillId="4" borderId="4" xfId="0" applyFont="1" applyFill="1" applyBorder="1" applyAlignment="1">
      <alignment horizontal="center" vertical="top" wrapText="1"/>
    </xf>
    <xf numFmtId="0" fontId="39" fillId="4" borderId="13" xfId="0" applyFont="1" applyFill="1" applyBorder="1" applyAlignment="1">
      <alignment horizontal="center" vertical="top" wrapText="1"/>
    </xf>
  </cellXfs>
  <cellStyles count="1">
    <cellStyle name="Normální" xfId="0" builtinId="0"/>
  </cellStyles>
  <dxfs count="2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</dxfs>
  <tableStyles count="0" defaultTableStyle="TableStyleMedium2" defaultPivotStyle="PivotStyleLight16"/>
  <colors>
    <mruColors>
      <color rgb="FF0000CC"/>
      <color rgb="FF0033CC"/>
      <color rgb="FF990033"/>
      <color rgb="FF339933"/>
      <color rgb="FF008000"/>
      <color rgb="FFFF6600"/>
      <color rgb="FFCCFF33"/>
      <color rgb="FFFEE8E6"/>
      <color rgb="FFFFFFCC"/>
      <color rgb="FFCCFC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0" tint="-0.249977111117893"/>
    <pageSetUpPr fitToPage="1"/>
  </sheetPr>
  <dimension ref="B1:J74"/>
  <sheetViews>
    <sheetView showGridLines="0" tabSelected="1" zoomScaleNormal="100" workbookViewId="0">
      <pane ySplit="1" topLeftCell="A3" activePane="bottomLeft" state="frozen"/>
      <selection pane="bottomLeft" activeCell="D5" sqref="D5"/>
    </sheetView>
  </sheetViews>
  <sheetFormatPr defaultRowHeight="15" x14ac:dyDescent="0.25"/>
  <cols>
    <col min="1" max="1" width="0.42578125" style="1" customWidth="1"/>
    <col min="2" max="2" width="4.42578125" style="1" customWidth="1"/>
    <col min="3" max="3" width="39.140625" style="1" customWidth="1"/>
    <col min="4" max="4" width="46.28515625" style="1" customWidth="1"/>
    <col min="5" max="5" width="10.28515625" style="3" customWidth="1"/>
    <col min="6" max="6" width="1" style="1" customWidth="1"/>
    <col min="7" max="7" width="22" style="1" customWidth="1"/>
    <col min="8" max="8" width="61" style="1" customWidth="1"/>
    <col min="9" max="9" width="2.140625" style="1" customWidth="1"/>
    <col min="10" max="10" width="2.42578125" style="1" customWidth="1"/>
    <col min="11" max="16384" width="9.140625" style="1"/>
  </cols>
  <sheetData>
    <row r="1" spans="2:10" ht="27" customHeight="1" x14ac:dyDescent="0.25">
      <c r="B1" s="129" t="s">
        <v>278</v>
      </c>
      <c r="C1" s="130"/>
      <c r="D1" s="130"/>
      <c r="E1" s="131"/>
      <c r="F1" s="118"/>
      <c r="G1" s="132" t="s">
        <v>131</v>
      </c>
      <c r="H1" s="133" t="s">
        <v>133</v>
      </c>
      <c r="I1" s="119"/>
    </row>
    <row r="2" spans="2:10" ht="21" hidden="1" x14ac:dyDescent="0.25">
      <c r="B2" s="135"/>
      <c r="C2" s="136"/>
      <c r="D2" s="136"/>
      <c r="E2" s="137"/>
      <c r="F2" s="136"/>
      <c r="G2" s="138"/>
      <c r="H2" s="139"/>
      <c r="I2" s="140"/>
    </row>
    <row r="3" spans="2:10" ht="23.25" customHeight="1" thickBot="1" x14ac:dyDescent="0.3">
      <c r="B3" s="141" t="s">
        <v>130</v>
      </c>
      <c r="C3" s="142"/>
      <c r="D3" s="142"/>
      <c r="E3" s="143"/>
      <c r="F3" s="142"/>
      <c r="G3" s="144" t="s">
        <v>132</v>
      </c>
      <c r="H3" s="136"/>
      <c r="I3" s="140"/>
    </row>
    <row r="4" spans="2:10" ht="18.75" customHeight="1" thickBot="1" x14ac:dyDescent="0.3">
      <c r="B4" s="120" t="s">
        <v>32</v>
      </c>
      <c r="C4" s="121" t="s">
        <v>109</v>
      </c>
      <c r="D4" s="122"/>
      <c r="E4" s="123" t="s">
        <v>161</v>
      </c>
      <c r="F4" s="144"/>
      <c r="G4" s="124"/>
      <c r="H4" s="125"/>
      <c r="I4" s="145"/>
      <c r="J4" s="2"/>
    </row>
    <row r="5" spans="2:10" ht="15.75" thickBot="1" x14ac:dyDescent="0.3">
      <c r="B5" s="146">
        <v>5</v>
      </c>
      <c r="C5" s="147" t="s">
        <v>110</v>
      </c>
      <c r="D5" s="49"/>
      <c r="E5" s="148" t="str">
        <f>IF($D$5=Data!A2,Data!B2,IF($D$5=Data!A3,Data!B3,IF($D$5=Data!A4,Data!B4,"")))</f>
        <v/>
      </c>
      <c r="F5" s="144"/>
      <c r="G5" s="149"/>
      <c r="H5" s="150"/>
      <c r="I5" s="145"/>
      <c r="J5" s="2"/>
    </row>
    <row r="6" spans="2:10" ht="15.75" thickBot="1" x14ac:dyDescent="0.3">
      <c r="B6" s="146">
        <v>6</v>
      </c>
      <c r="C6" s="147" t="s">
        <v>111</v>
      </c>
      <c r="D6" s="50"/>
      <c r="E6" s="148" t="str">
        <f>IF(D$6=Data!A6,Data!B6,IF(D$6=Data!A7,Data!B7,IF(D$6=Data!A8,Data!B8,IF(D$6=Data!A9,Data!B9,""))))</f>
        <v/>
      </c>
      <c r="F6" s="144"/>
      <c r="G6" s="149"/>
      <c r="H6" s="151"/>
      <c r="I6" s="145"/>
      <c r="J6" s="2"/>
    </row>
    <row r="7" spans="2:10" ht="16.5" thickBot="1" x14ac:dyDescent="0.3">
      <c r="B7" s="126" t="s">
        <v>51</v>
      </c>
      <c r="C7" s="121" t="s">
        <v>92</v>
      </c>
      <c r="D7" s="127" t="s">
        <v>51</v>
      </c>
      <c r="E7" s="134" t="s">
        <v>89</v>
      </c>
      <c r="F7" s="144"/>
      <c r="G7" s="124"/>
      <c r="H7" s="125"/>
      <c r="I7" s="145"/>
      <c r="J7" s="2"/>
    </row>
    <row r="8" spans="2:10" ht="15.75" thickBot="1" x14ac:dyDescent="0.3">
      <c r="B8" s="146">
        <v>8</v>
      </c>
      <c r="C8" s="147" t="s">
        <v>93</v>
      </c>
      <c r="D8" s="49"/>
      <c r="E8" s="148" t="str">
        <f>IF(D$8=Data!A11,Data!B11,IF(D$8=Data!A12,Data!B12,IF(D$8=Data!A13,Data!B13,IF(D$8=Data!A14,Data!B14,IF(D$8=Data!A15,Data!B15,IF(D$8=Data!A16,Data!B16,IF(D$8=Data!A17,Data!B17,IF(D$8=Data!A18,Data!B18,IF(D$8=Data!A19,Data!B19,IF(D$8=Data!A20,Data!B20,IF(D$8=Data!A21,Data!B21,IF(D$8=Data!A22,Data!B22,IF(D$8=Data!A23,Data!B23,IF(D$8=Data!A24,Data!B24,IF(D$8=Data!A25,Data!B25,IF(D$8=Data!A26,Data!B26,IF(D$8=Data!A27,Data!B27,IF(D$8=Data!A28,Data!B28,IF(D$8=Data!A29,Data!B29,IF(D$8=Data!A30,Data!B30,IF(D$8=Data!A31,Data!B31,IF(D$8=Data!A32,Data!B32,IF(D$8=Data!A33,Data!B33,IF(D$8=Data!A34,Data!B34,IF(D$8=Data!A35,Data!B35,IF(D$8=Data!A36,Data!B36,IF(D$8=Data!A37,Data!B37,"")))))))))))))))))))))))))))</f>
        <v/>
      </c>
      <c r="F8" s="144"/>
      <c r="G8" s="187" t="str">
        <f>IF(D8="",IF(E5=2,"Max DN200",""),"")</f>
        <v/>
      </c>
      <c r="H8" s="189" t="str">
        <f>IF(E5=2,IF(D8="","",IF(E8&gt;"15","Error - The largest dimension for a flanged sensor is 200!","")),"")</f>
        <v/>
      </c>
      <c r="I8" s="145"/>
      <c r="J8" s="2"/>
    </row>
    <row r="9" spans="2:10" ht="15.75" thickBot="1" x14ac:dyDescent="0.3">
      <c r="B9" s="146">
        <v>9</v>
      </c>
      <c r="C9" s="152" t="str">
        <f>IF(E5=2,"Counter flanges on a pipe","Sensor flanges")</f>
        <v>Sensor flanges</v>
      </c>
      <c r="D9" s="51"/>
      <c r="E9" s="148" t="str">
        <f>IF(D$9=Data!A39,Data!B39,IF(D$9=Data!A40,Data!B40,IF(D$9=Data!A41,Data!B41,IF(D$9=Data!A42,Data!B42,IF(D$9=Data!A43,Data!B43,IF(D$9=Data!A44,Data!B44,IF(D$9=Data!A45,Data!B45,"")))))))</f>
        <v/>
      </c>
      <c r="F9" s="144"/>
      <c r="G9" s="188" t="str">
        <f>IF(D8="",IF(E5=2,"In case of wafer version, write a type of counter flanges, which are installed on a pipe!",""),"")</f>
        <v/>
      </c>
      <c r="H9" s="189" t="str">
        <f>IF(E8="xx","",IF(E8&gt;"21",IF(D9="","",IF(E9=2,"Not - Flanges ASME are possible to use for dimenzion DN600 or smaller!","")),IF(E8&lt;"22",IF(D9="","",IF(E9=4,"IMPOSSIBLE  - Flanges AWWA use for dimenzions DN700 or bigger!","")),"")))</f>
        <v/>
      </c>
      <c r="I9" s="145"/>
      <c r="J9" s="2"/>
    </row>
    <row r="10" spans="2:10" ht="15.75" thickBot="1" x14ac:dyDescent="0.3">
      <c r="B10" s="146">
        <v>10</v>
      </c>
      <c r="C10" s="147" t="s">
        <v>94</v>
      </c>
      <c r="D10" s="51"/>
      <c r="E10" s="148" t="str">
        <f>IF(D$10=Data!A47,Data!B47,IF(D$10=Data!A48,Data!B48,IF(D$10=Data!A49,Data!B49,IF(D$10=Data!A50,Data!B50,""))))</f>
        <v/>
      </c>
      <c r="F10" s="144"/>
      <c r="G10" s="149"/>
      <c r="H10" s="153"/>
      <c r="I10" s="145"/>
      <c r="J10" s="2"/>
    </row>
    <row r="11" spans="2:10" ht="15.75" thickBot="1" x14ac:dyDescent="0.3">
      <c r="B11" s="146">
        <v>11</v>
      </c>
      <c r="C11" s="147" t="s">
        <v>95</v>
      </c>
      <c r="D11" s="51"/>
      <c r="E11" s="148" t="str">
        <f>IF(D$11=Data!A52,Data!B52,IF(D$11=Data!A53,Data!B53,IF(D$11=Data!A54,Data!B54,IF(D$11=Data!A55,Data!B55,IF(D$11=Data!A56,Data!B56,IF(D$11=Data!A57,Data!B57,""))))))</f>
        <v/>
      </c>
      <c r="F11" s="144"/>
      <c r="G11" s="149"/>
      <c r="H11" s="153"/>
      <c r="I11" s="145"/>
      <c r="J11" s="2"/>
    </row>
    <row r="12" spans="2:10" ht="15.75" thickBot="1" x14ac:dyDescent="0.3">
      <c r="B12" s="146">
        <v>12</v>
      </c>
      <c r="C12" s="147" t="s">
        <v>144</v>
      </c>
      <c r="D12" s="52"/>
      <c r="E12" s="148" t="str">
        <f>IF(D$12=Data!A59,Data!B59,IF(D$12=Data!A60,Data!B60,""))</f>
        <v/>
      </c>
      <c r="F12" s="144"/>
      <c r="G12" s="149"/>
      <c r="H12" s="189" t="str">
        <f>IF(D12="","",IF(E12="1",IF(E8&gt;"04","","Error - The smallest dimension for the grounding electrode is 20!"),""))</f>
        <v/>
      </c>
      <c r="I12" s="145"/>
      <c r="J12" s="2"/>
    </row>
    <row r="13" spans="2:10" ht="15.75" thickBot="1" x14ac:dyDescent="0.3">
      <c r="B13" s="146">
        <v>13</v>
      </c>
      <c r="C13" s="147" t="s">
        <v>96</v>
      </c>
      <c r="D13" s="51"/>
      <c r="E13" s="148" t="str">
        <f>IF(D$13=Data!A62,Data!B62,IF(D$13=Data!A63,Data!B63,IF(D$13=Data!A64,Data!B64,IF(D$13=Data!A65,Data!B65,IF(D$13=Data!A66,Data!B66,IF(D$13=Data!A67,Data!B67,IF(D$13=Data!A68,Data!B68,"")))))))</f>
        <v/>
      </c>
      <c r="F13" s="144"/>
      <c r="G13" s="187" t="str">
        <f>IF(D13="",IF(E8="01","PVDF",IF(E8="02","PVDF",IF(E8="03","PVDF",""))),"")</f>
        <v/>
      </c>
      <c r="H13" s="189" t="str">
        <f>IF(E8="XX","",IF(E13=1,IF(E8&gt;"05","","Error - dimension does not match the selected lining!"),IF(E13=2,IF(E8&gt;"05","","Error - dimension does not match the selected lining!"),IF(E13=3,IF(E8&gt;"07","","Error - dimension does not match the selected lining!"),IF(E13=4,IF(E8&gt;"03","","Error - dimension does not match the selected lining!"),IF(E13=5,IF(E8&gt;"16","","Error - dimension does not match the selected lining!"),IF(E13=6,IF(E8&lt;"04","","Error - dimension does not match the selected lining!"),"")))))))</f>
        <v/>
      </c>
      <c r="I13" s="145"/>
      <c r="J13" s="2"/>
    </row>
    <row r="14" spans="2:10" ht="15.75" thickBot="1" x14ac:dyDescent="0.3">
      <c r="B14" s="146">
        <v>14</v>
      </c>
      <c r="C14" s="147" t="s">
        <v>97</v>
      </c>
      <c r="D14" s="51"/>
      <c r="E14" s="148" t="str">
        <f>IF(D$14=Data!A70,Data!B70,IF(D$14=Data!A71,Data!B71,IF(D$14=Data!A72,Data!B72,"")))</f>
        <v/>
      </c>
      <c r="F14" s="144"/>
      <c r="G14" s="187" t="str">
        <f>IF(D14="",IF(E6=0,"Standard IP 65",IF(E6=4,"Standard IP 65","")),"")</f>
        <v/>
      </c>
      <c r="H14" s="189" t="str">
        <f>IF(E14=2,IF(E6=1,"",IF(E6=5,"","Error - IP 68 not possible with compact design!")),"")</f>
        <v/>
      </c>
      <c r="I14" s="145"/>
      <c r="J14" s="2"/>
    </row>
    <row r="15" spans="2:10" ht="15.75" thickBot="1" x14ac:dyDescent="0.3">
      <c r="B15" s="146">
        <v>15</v>
      </c>
      <c r="C15" s="147" t="s">
        <v>98</v>
      </c>
      <c r="D15" s="53"/>
      <c r="E15" s="148" t="str">
        <f>IF(D$15=Data!A74,Data!B74,IF(D$15=Data!A75,Data!B75,IF(D$15=Data!A76,Data!B76,IF(D$15=Data!A77,Data!B77,IF(D$15=Data!A78,Data!B78,IF(D$15=Data!A79,Data!B79,""))))))</f>
        <v/>
      </c>
      <c r="F15" s="144"/>
      <c r="G15" s="149" t="str">
        <f>IF(D15="",IF(E8="XX","Non-Standard",IF(E8&gt;="23","PN 6",IF(E8&gt;="16","PN 10",IF(E8&gt;="10","PN 16",IF(E8&gt;="04","PN 40",IF(E8&gt;="01","PN 25","")))))),"")</f>
        <v/>
      </c>
      <c r="H15" s="192" t="str">
        <f>IF(E8="XX","",IF(E15="x","",IF(D15="","",IF(E8&gt;="23",IF(E15=1,"","Dimension and pressure combinations are not included in the standard product range."),IF(E8&gt;="16",IF(E15=2,"","Dimension and pressure combinations are not included in the standard product range."),IF(E8&gt;="10",IF(E15=3,"","Dimension and pressure combinations are not included in the standard product range."),IF(E8&gt;="04",IF(E15=5,"","Dimension and pressure combinations are not included in the standard product range."),IF(E8&gt;="01",IF(E15=4,"","Dimension and pressure combinations are not included in the standard product range."),""))))))))</f>
        <v/>
      </c>
      <c r="I15" s="145"/>
      <c r="J15" s="2"/>
    </row>
    <row r="16" spans="2:10" ht="15.75" thickBot="1" x14ac:dyDescent="0.3">
      <c r="B16" s="146">
        <v>16</v>
      </c>
      <c r="C16" s="154" t="s">
        <v>99</v>
      </c>
      <c r="D16" s="51"/>
      <c r="E16" s="148" t="str">
        <f>IF(D$16=Data!A81,Data!B81,IF(D$16=Data!A82,Data!B82,IF(D$16=Data!A83,Data!B83,IF(D$16=Data!A84,Data!B84,IF(D$16=Data!A85,Data!B85,IF(D$16=Data!A86,Data!B86,IF(D$16=Data!A87,Data!B87,IF(D$16=Data!A88,Data!B88,IF(D$16=Data!A89,Data!B89,"")))))))))</f>
        <v/>
      </c>
      <c r="F16" s="144"/>
      <c r="G16" s="149" t="str">
        <f>IF(D16="",IF(E6=0,"Max. 60 °C",IF(E6=4,"Max. 60 °C","")),"")</f>
        <v/>
      </c>
      <c r="H16" s="189" t="str">
        <f>IF(D16="","",IF(E16="x","",IF(E6=0,IF(E16&lt;=2,"","Error - The compact design cannot be used for the selected temperature!"),IF(E6=4,IF(E16&lt;=2,"","Error - The compact design cannot be used for the selected temperature!"),IF(E13&lt;=3,IF(E16&lt;=3,"","Error - The temperature selected does not match the lining material!"),IF(E13=5,IF(E16&lt;=6,"","Error - The temperature selected does not match the lining material!"),IF(E13=6,IF(E16&lt;=6,"","Error - The temperature selected does not match the lining material!"),"")))))))</f>
        <v/>
      </c>
      <c r="I16" s="145"/>
      <c r="J16" s="2"/>
    </row>
    <row r="17" spans="2:10" ht="15.75" thickBot="1" x14ac:dyDescent="0.3">
      <c r="B17" s="146">
        <v>17</v>
      </c>
      <c r="C17" s="147" t="s">
        <v>98</v>
      </c>
      <c r="D17" s="53"/>
      <c r="E17" s="148" t="str">
        <f>IF(D17=Data!A91,Data!B91,IF(D17=Data!A92,Data!B92,""))</f>
        <v/>
      </c>
      <c r="F17" s="144"/>
      <c r="G17" s="149"/>
      <c r="H17" s="153"/>
      <c r="I17" s="145"/>
      <c r="J17" s="2"/>
    </row>
    <row r="18" spans="2:10" ht="15.75" thickBot="1" x14ac:dyDescent="0.3">
      <c r="B18" s="146">
        <v>18</v>
      </c>
      <c r="C18" s="147" t="s">
        <v>100</v>
      </c>
      <c r="D18" s="53"/>
      <c r="E18" s="148" t="str">
        <f>IF(D18=Data!A94,Data!B94,IF(D18=Data!A95,Data!B95,IF(D18=Data!A96,Data!B96,IF(D18=Data!A97,Data!B97,IF(D18=Data!A98,Data!B98,"")))))</f>
        <v/>
      </c>
      <c r="F18" s="144"/>
      <c r="G18" s="153"/>
      <c r="H18" s="153"/>
      <c r="I18" s="145"/>
      <c r="J18" s="2"/>
    </row>
    <row r="19" spans="2:10" ht="15.75" thickBot="1" x14ac:dyDescent="0.3">
      <c r="B19" s="146">
        <v>19</v>
      </c>
      <c r="C19" s="147" t="s">
        <v>354</v>
      </c>
      <c r="D19" s="53"/>
      <c r="E19" s="148" t="str">
        <f>IF(D$19=Data!A100,Data!B100,IF(D$19=Data!A101,Data!B101,""))</f>
        <v/>
      </c>
      <c r="F19" s="144"/>
      <c r="G19" s="153"/>
      <c r="H19" s="153"/>
      <c r="I19" s="145"/>
      <c r="J19" s="2"/>
    </row>
    <row r="20" spans="2:10" ht="15.75" thickBot="1" x14ac:dyDescent="0.3">
      <c r="B20" s="146">
        <v>20</v>
      </c>
      <c r="C20" s="154" t="s">
        <v>101</v>
      </c>
      <c r="D20" s="53"/>
      <c r="E20" s="148" t="str">
        <f>IF(D20=Data!A103,Data!B103,IF(D20=Data!A104,Data!B104,""))</f>
        <v/>
      </c>
      <c r="F20" s="144"/>
      <c r="G20" s="187" t="str">
        <f>IF(D20="",IF(E8="","",IF(E8&lt;="06","No","")),"")</f>
        <v/>
      </c>
      <c r="H20" s="189" t="str">
        <f>IF(E20="1",IF(E8&gt;"06","","Error - The indication can be applied to a dimension 32 and higher!"),"")</f>
        <v/>
      </c>
      <c r="I20" s="145"/>
      <c r="J20" s="2"/>
    </row>
    <row r="21" spans="2:10" ht="15.75" thickBot="1" x14ac:dyDescent="0.3">
      <c r="B21" s="146">
        <v>21</v>
      </c>
      <c r="C21" s="147" t="s">
        <v>252</v>
      </c>
      <c r="D21" s="54"/>
      <c r="E21" s="148" t="str">
        <f>IF(D21=Data!A106,Data!B106,IF(D21=Data!A107,Data!B107,IF(D21=Data!A108,Data!B108,IF(D21=Data!A109,Data!B109,IF(D21=Data!A110,Data!B110,IF(D21=Data!A111,Data!B111,""))))))</f>
        <v/>
      </c>
      <c r="F21" s="144"/>
      <c r="G21" s="149"/>
      <c r="H21" s="189" t="str">
        <f>IF(D21="","",IF(E22="0",IF(E21="0","","Error - inconsistency with the following PED"),""))</f>
        <v/>
      </c>
      <c r="I21" s="145"/>
      <c r="J21" s="2"/>
    </row>
    <row r="22" spans="2:10" ht="15.75" thickBot="1" x14ac:dyDescent="0.3">
      <c r="B22" s="146">
        <v>22</v>
      </c>
      <c r="C22" s="193" t="s">
        <v>169</v>
      </c>
      <c r="D22" s="47"/>
      <c r="E22" s="148" t="str">
        <f>IF(E21="0","0",IF(D22=Data!A113,Data!B113,IF(D22=Data!A114,Data!B114,IF(D22=Data!A115,Data!B115,IF(D22=Data!A116,Data!B116,IF(D22=Data!A117,Data!B117,""))))))</f>
        <v/>
      </c>
      <c r="F22" s="144"/>
      <c r="G22" s="149"/>
      <c r="H22" s="189" t="str">
        <f>IF(D22="","",IF(E21="0",IF(D22="PED Not required","","Error - PED not required - Do not specify a category!"),""))</f>
        <v/>
      </c>
      <c r="I22" s="155"/>
      <c r="J22" s="2"/>
    </row>
    <row r="23" spans="2:10" ht="15.75" thickBot="1" x14ac:dyDescent="0.3">
      <c r="B23" s="146">
        <v>23</v>
      </c>
      <c r="C23" s="194" t="s">
        <v>102</v>
      </c>
      <c r="D23" s="47"/>
      <c r="E23" s="195" t="str">
        <f>IF(D23="",IF(D24="","",0),1)</f>
        <v/>
      </c>
      <c r="F23" s="197"/>
      <c r="G23" s="196"/>
      <c r="H23" s="198"/>
      <c r="I23" s="156" t="s">
        <v>263</v>
      </c>
      <c r="J23" s="2"/>
    </row>
    <row r="24" spans="2:10" ht="15.75" thickBot="1" x14ac:dyDescent="0.3">
      <c r="B24" s="146">
        <v>24</v>
      </c>
      <c r="C24" s="147" t="s">
        <v>149</v>
      </c>
      <c r="D24" s="51"/>
      <c r="E24" s="148" t="str">
        <f>IF(D$24=Data!A121,Data!B121,IF(D$24=Data!A122,Data!B122,""))</f>
        <v/>
      </c>
      <c r="F24" s="144"/>
      <c r="G24" s="187" t="str">
        <f>IF(D24="",IF(E12="1","without grounding rings",""),"")</f>
        <v/>
      </c>
      <c r="H24" s="190" t="str">
        <f>IF(D24="","",IF(E24="0","",IF(E11=E24,"","Material electrodes and grounding rings should be the same. ")))</f>
        <v/>
      </c>
      <c r="I24" s="145"/>
      <c r="J24" s="2"/>
    </row>
    <row r="25" spans="2:10" ht="15.75" thickBot="1" x14ac:dyDescent="0.3">
      <c r="B25" s="146">
        <v>25</v>
      </c>
      <c r="C25" s="152" t="s">
        <v>103</v>
      </c>
      <c r="D25" s="47"/>
      <c r="E25" s="157" t="str">
        <f>IF(E6=0,"0",IF(E6=4,"0",IF(D$25=Data!A124,Data!B124,IF(D$25=Data!A125,Data!B125,IF(D$25=Data!A126,Data!B126,IF(D$25=Data!A127,Data!B127,IF(D$25=Data!A128,Data!B128,IF(D$25=Data!A129,Data!B129,IF(D$25=Data!A130,Data!B130,IF(D$25=Data!A131,Data!B131,IF(D$25=Data!A132,Data!B132,"")))))))))))</f>
        <v/>
      </c>
      <c r="F25" s="144"/>
      <c r="G25" s="149"/>
      <c r="H25" s="189" t="str">
        <f>IF(D25="","",IF(E6=0,IF(D25="0","","Error - The compact design does not include a cable! Delete the value!"),IF(E6=4,IF(D25="0","","Error - The compact design does not include a cable! Delete the value!"),IF(E20="1",IF(E25&gt;2,"Error - If the flooded pipe is indicated, the cable may be max. 10 m!",""),""))))</f>
        <v/>
      </c>
      <c r="I25" s="145"/>
      <c r="J25" s="2"/>
    </row>
    <row r="26" spans="2:10" ht="16.5" thickBot="1" x14ac:dyDescent="0.3">
      <c r="B26" s="126" t="s">
        <v>51</v>
      </c>
      <c r="C26" s="121" t="s">
        <v>104</v>
      </c>
      <c r="D26" s="127" t="s">
        <v>51</v>
      </c>
      <c r="E26" s="134" t="s">
        <v>0</v>
      </c>
      <c r="F26" s="144"/>
      <c r="G26" s="124"/>
      <c r="H26" s="125"/>
      <c r="I26" s="145"/>
      <c r="J26" s="2"/>
    </row>
    <row r="27" spans="2:10" ht="15.75" thickBot="1" x14ac:dyDescent="0.3">
      <c r="B27" s="146">
        <v>27</v>
      </c>
      <c r="C27" s="147" t="s">
        <v>105</v>
      </c>
      <c r="D27" s="18"/>
      <c r="E27" s="148" t="str">
        <f>IF(D27=Data!A134,Data!B134,IF(D27=Data!A135,Data!B135,""))</f>
        <v/>
      </c>
      <c r="F27" s="144"/>
      <c r="G27" s="149"/>
      <c r="H27" s="153"/>
      <c r="I27" s="145"/>
      <c r="J27" s="2"/>
    </row>
    <row r="28" spans="2:10" ht="15.75" thickBot="1" x14ac:dyDescent="0.3">
      <c r="B28" s="146">
        <v>28</v>
      </c>
      <c r="C28" s="147" t="s">
        <v>106</v>
      </c>
      <c r="D28" s="11"/>
      <c r="E28" s="148" t="str">
        <f>IF(D28=Data!A137,Data!B137,IF(D28=Data!A138,Data!B138,""))</f>
        <v/>
      </c>
      <c r="F28" s="144"/>
      <c r="G28" s="149"/>
      <c r="H28" s="153"/>
      <c r="I28" s="145"/>
      <c r="J28" s="2"/>
    </row>
    <row r="29" spans="2:10" ht="15.75" thickBot="1" x14ac:dyDescent="0.3">
      <c r="B29" s="146">
        <v>29</v>
      </c>
      <c r="C29" s="152" t="s">
        <v>107</v>
      </c>
      <c r="D29" s="11"/>
      <c r="E29" s="148" t="str">
        <f>IF(E6&lt;2,0,IF(D29=Data!A140,Data!B140,IF(D29=Data!A141,Data!B141,"")))</f>
        <v/>
      </c>
      <c r="F29" s="144"/>
      <c r="G29" s="149"/>
      <c r="H29" s="189" t="str">
        <f>IF(E6&lt;2,IF(D29="","","Version ECONOMIC – the line must be empty!"),"")</f>
        <v/>
      </c>
      <c r="I29" s="145"/>
      <c r="J29" s="2"/>
    </row>
    <row r="30" spans="2:10" ht="15.75" thickBot="1" x14ac:dyDescent="0.3">
      <c r="B30" s="146">
        <v>30</v>
      </c>
      <c r="C30" s="152" t="s">
        <v>108</v>
      </c>
      <c r="D30" s="11"/>
      <c r="E30" s="148" t="str">
        <f>IF(E29="","",IF(E29=0,0,IF(D30="","",IF(D30=Data!A144,Data!B144,IF(D30=Data!A145,Data!B145,IF(D30=Data!A146,Data!B146,IF(D30=Data!A147,Data!B147,IF(D30=Data!A148,Data!B148,""))))))))</f>
        <v/>
      </c>
      <c r="F30" s="144"/>
      <c r="G30" s="149"/>
      <c r="H30" s="189" t="str">
        <f>IF(E29=0,IF(D30&gt;0.1,"When no dosage is given, the line must be empty.",""),"")</f>
        <v/>
      </c>
      <c r="I30" s="145"/>
      <c r="J30" s="2"/>
    </row>
    <row r="31" spans="2:10" ht="15.75" thickBot="1" x14ac:dyDescent="0.3">
      <c r="B31" s="146">
        <v>31</v>
      </c>
      <c r="C31" s="147" t="s">
        <v>112</v>
      </c>
      <c r="D31" s="10"/>
      <c r="E31" s="148" t="str">
        <f>IF(D31=Data!A150,Data!B150,IF(D31=Data!A151,Data!B151,""))</f>
        <v/>
      </c>
      <c r="F31" s="144"/>
      <c r="G31" s="149"/>
      <c r="H31" s="153"/>
      <c r="I31" s="145"/>
      <c r="J31" s="2"/>
    </row>
    <row r="32" spans="2:10" ht="15.75" thickBot="1" x14ac:dyDescent="0.3">
      <c r="B32" s="146">
        <v>32</v>
      </c>
      <c r="C32" s="152" t="s">
        <v>147</v>
      </c>
      <c r="D32" s="11"/>
      <c r="E32" s="148" t="str">
        <f>IF(E6&lt;2,0,IF(D32=Data!A154,Data!B154,IF(D32=Data!A155,Data!B155,IF(D32=Data!A156,Data!B156,IF(D32=Data!A157,Data!B157,IF(D32=Data!A158,Data!B158,IF(D32=Data!A159,Data!B159,IF(D32=Data!A160,Data!B160,IF(D32=Data!A161,Data!B161,IF(D32=Data!A162,Data!B162,IF(D32=Data!A163,Data!B163,"")))))))))))</f>
        <v/>
      </c>
      <c r="F32" s="144"/>
      <c r="G32" s="149"/>
      <c r="H32" s="189" t="str">
        <f>IF($E$6&lt;2,IF(D32="","","Version ECONOMIC – the line must be empty!"),"")</f>
        <v/>
      </c>
      <c r="I32" s="145"/>
      <c r="J32" s="2"/>
    </row>
    <row r="33" spans="2:10" ht="15.75" thickBot="1" x14ac:dyDescent="0.3">
      <c r="B33" s="146">
        <v>33</v>
      </c>
      <c r="C33" s="147" t="s">
        <v>284</v>
      </c>
      <c r="D33" s="10"/>
      <c r="E33" s="148" t="str">
        <f>IF(D33=Data!A165,Data!B165,IF(D33=Data!A166,Data!B166,IF(D33=Data!A167,Data!B167,IF(D33=Data!A168,Data!B168,IF(D33=Data!A169,Data!B169,IF(D33=Data!A170,Data!B170,IF(D33=Data!A171,Data!B171,IF(D33=Data!A172,Data!B172,IF(D33=Data!A173,Data!B173,"")))))))))</f>
        <v/>
      </c>
      <c r="F33" s="144"/>
      <c r="G33" s="149"/>
      <c r="H33" s="153"/>
      <c r="I33" s="145"/>
      <c r="J33" s="2"/>
    </row>
    <row r="34" spans="2:10" ht="15.75" thickBot="1" x14ac:dyDescent="0.3">
      <c r="B34" s="146">
        <v>34</v>
      </c>
      <c r="C34" s="152" t="s">
        <v>285</v>
      </c>
      <c r="D34" s="11"/>
      <c r="E34" s="148" t="str">
        <f>IF(E33="0","0",IF(D34=Data!A176,Data!B176,IF(D34=Data!A177,Data!B177,IF(D34=Data!A178,Data!B178,IF(D34=Data!A179,Data!B179,"")))))</f>
        <v/>
      </c>
      <c r="F34" s="144"/>
      <c r="G34" s="149"/>
      <c r="H34" s="189" t="str">
        <f>IF(E33="0",IF(D34="","","Error - Pulse number is not required, the field must be blank!"),"")</f>
        <v/>
      </c>
      <c r="I34" s="145"/>
      <c r="J34" s="2"/>
    </row>
    <row r="35" spans="2:10" ht="15.75" thickBot="1" x14ac:dyDescent="0.3">
      <c r="B35" s="146">
        <v>35</v>
      </c>
      <c r="C35" s="152" t="s">
        <v>148</v>
      </c>
      <c r="D35" s="11"/>
      <c r="E35" s="148" t="str">
        <f>IF(E6&lt;2,0,IF(D35=Data!A182,Data!B182,IF(D35=Data!A183,Data!B183,IF(D35=Data!A184,Data!B184,IF(D35=Data!A185,Data!B185,IF(D35=Data!A186,Data!B186,IF(D35=Data!A187,Data!B187,IF(D35=Data!A188,Data!B188,IF(D35=Data!A189,Data!B189,"")))))))))</f>
        <v/>
      </c>
      <c r="F35" s="144"/>
      <c r="G35" s="149"/>
      <c r="H35" s="189" t="str">
        <f>IF($E$6&lt;2,IF(D35="","","Version ECONOMIC – the line must be empty!"),"")</f>
        <v/>
      </c>
      <c r="I35" s="145"/>
      <c r="J35" s="2"/>
    </row>
    <row r="36" spans="2:10" ht="15.75" thickBot="1" x14ac:dyDescent="0.3">
      <c r="B36" s="146">
        <v>36</v>
      </c>
      <c r="C36" s="152" t="s">
        <v>254</v>
      </c>
      <c r="D36" s="11"/>
      <c r="E36" s="148" t="str">
        <f>IF(E6&lt;2,0,IF(D36=Data!A191,Data!B191,IF(D36=Data!A192,Data!B192,"")))</f>
        <v/>
      </c>
      <c r="F36" s="144"/>
      <c r="G36" s="149"/>
      <c r="H36" s="189" t="str">
        <f>IF($E$6&lt;2,IF(D36="","","Version ECONOMIC – the line must be empty!"),"")</f>
        <v/>
      </c>
      <c r="I36" s="145"/>
      <c r="J36" s="2"/>
    </row>
    <row r="37" spans="2:10" ht="18.75" thickBot="1" x14ac:dyDescent="0.3">
      <c r="B37" s="146">
        <v>37</v>
      </c>
      <c r="C37" s="147" t="s">
        <v>277</v>
      </c>
      <c r="D37" s="19"/>
      <c r="E37" s="148" t="str">
        <f>IF(D37=Data!A194,Data!B194,IF(D37=Data!A195,Data!B195,IF(D37=Data!A196,Data!B196,IF(D37=Data!A197,Data!B197,IF(D37=Data!A198,Data!B198,IF(D37=Data!A199,Data!B199,IF(D37=Data!A200,Data!B200,IF(D37=Data!A201,Data!B201,IF(D37=Data!A202,Data!B202,IF(D37=Data!A203,Data!B203,""))))))))))</f>
        <v/>
      </c>
      <c r="F37" s="144"/>
      <c r="G37" s="149"/>
      <c r="H37" s="153"/>
      <c r="I37" s="145"/>
      <c r="J37" s="2"/>
    </row>
    <row r="38" spans="2:10" ht="15.75" thickBot="1" x14ac:dyDescent="0.3">
      <c r="B38" s="146">
        <v>38</v>
      </c>
      <c r="C38" s="147" t="s">
        <v>145</v>
      </c>
      <c r="D38" s="11"/>
      <c r="E38" s="148" t="str">
        <f>IF(D$38=Data!A205,Data!B205,IF(D$38=Data!A206,Data!B206,IF(D$38=Data!A207,Data!B207,IF(D$38=Data!A208,Data!B208,IF(D$38=Data!A209,Data!B209,IF(D$38=Data!A210,Data!B210,IF(D$38=Data!A211,Data!B211,IF(D$38=Data!A212,Data!B212,IF(D$38=Data!A213,Data!B213,IF(D$38=Data!A214,Data!B214,IF(D$38=Data!A215,Data!B215,IF(D$38=Data!A216,Data!B216,IF(D$38=Data!A217,Data!B217,IF(D$38=Data!A218,Data!B218,IF(D$38=Data!A219,Data!B219,IF(D$38=Data!A220,Data!B220,IF(D$38=Data!A221,Data!B221,IF(D$38=Data!A222,Data!B222,IF(D$38=Data!A223,Data!B223,IF(D$38=Data!A224,Data!B224,""))))))))))))))))))))</f>
        <v/>
      </c>
      <c r="F38" s="144"/>
      <c r="G38" s="149"/>
      <c r="H38" s="153"/>
      <c r="I38" s="145"/>
      <c r="J38" s="2"/>
    </row>
    <row r="39" spans="2:10" ht="15.75" thickBot="1" x14ac:dyDescent="0.3">
      <c r="B39" s="146">
        <v>39</v>
      </c>
      <c r="C39" s="147" t="s">
        <v>146</v>
      </c>
      <c r="D39" s="20"/>
      <c r="E39" s="148" t="str">
        <f>IF(D$39=Data!A226,Data!B226,IF(D$39=Data!A227,Data!B227,IF(D$39=Data!A228,Data!B228,IF(D$39=Data!A229,Data!B229,IF(D$39=Data!A230,Data!B230,IF(D$39=Data!A231,Data!B231,IF(D$39=Data!A232,Data!B232,IF(D$39=Data!A233,Data!B233,IF(D$39=Data!A234,Data!B234,IF(D$39=Data!A235,Data!B235,IF(D$39=Data!A236,Data!B236,IF(D$39=Data!A237,Data!B237,IF(D$39=Data!A238,Data!B238,IF(D$39=Data!A239,Data!B239,IF(D$39=Data!A240,Data!B240,IF(D$39=Data!A241,Data!B241,IF(D$39=Data!A242,Data!B242,IF(D$39=Data!A243,Data!B243,IF(D$39=Data!A244,Data!B244,IF(D$39=Data!A245,Data!B245,""))))))))))))))))))))</f>
        <v/>
      </c>
      <c r="F39" s="136"/>
      <c r="G39" s="149"/>
      <c r="H39" s="191" t="str">
        <f>IF(E38="05",IF(E39="X8","Note that you must use the same frequency range as OUT1",""),IF(E38="06",IF(E39="X8","Note that you must use the same frequency range as OUT1",""),IF(E38="07",IF(E39="X8","Note that you must use the same frequency range as OUT1",""),"")))</f>
        <v/>
      </c>
      <c r="I39" s="158"/>
    </row>
    <row r="40" spans="2:10" ht="15.75" thickBot="1" x14ac:dyDescent="0.3">
      <c r="B40" s="146">
        <v>40</v>
      </c>
      <c r="C40" s="147" t="s">
        <v>253</v>
      </c>
      <c r="D40" s="11"/>
      <c r="E40" s="148" t="str">
        <f>IF(D$40=Data!A247,Data!B247,IF(D$40=Data!A248,Data!B248,""))</f>
        <v/>
      </c>
      <c r="F40" s="136"/>
      <c r="G40" s="149"/>
      <c r="H40" s="151"/>
      <c r="I40" s="158"/>
    </row>
    <row r="41" spans="2:10" ht="15.75" thickBot="1" x14ac:dyDescent="0.3">
      <c r="B41" s="146">
        <v>41</v>
      </c>
      <c r="C41" s="147" t="s">
        <v>113</v>
      </c>
      <c r="D41" s="20"/>
      <c r="E41" s="148" t="str">
        <f>IF(D41=Data!A250,Data!B250,IF(D41=Data!A251,Data!B251,IF(D41=Data!A252,Data!B252,IF(D41=Data!A253,Data!B253,IF(D41=Data!A254,Data!B254,IF(D41=Data!A255,Data!B255,IF(D41=Data!A256,Data!B256,IF(D41=Data!A257,Data!B257,IF(D41=Data!A258,Data!B258,IF(D41=Data!A259,Data!B259,""))))))))))</f>
        <v/>
      </c>
      <c r="F41" s="136"/>
      <c r="G41" s="149"/>
      <c r="H41" s="151"/>
      <c r="I41" s="158"/>
    </row>
    <row r="42" spans="2:10" ht="15.75" thickBot="1" x14ac:dyDescent="0.3">
      <c r="B42" s="146">
        <v>42</v>
      </c>
      <c r="C42" s="147" t="s">
        <v>114</v>
      </c>
      <c r="D42" s="19"/>
      <c r="E42" s="148" t="str">
        <f>IF(D42=Data!A261,Data!B261,IF(D42=Data!A262,Data!B262,IF(D42=Data!A263,Data!B263,IF(D42=Data!A264,Data!B264,IF(D42=Data!A265,Data!B265,"")))))</f>
        <v/>
      </c>
      <c r="F42" s="136"/>
      <c r="G42" s="149"/>
      <c r="H42" s="151"/>
      <c r="I42" s="158"/>
    </row>
    <row r="43" spans="2:10" ht="16.5" thickBot="1" x14ac:dyDescent="0.3">
      <c r="B43" s="126" t="s">
        <v>51</v>
      </c>
      <c r="C43" s="121" t="s">
        <v>115</v>
      </c>
      <c r="D43" s="127" t="s">
        <v>51</v>
      </c>
      <c r="E43" s="134" t="s">
        <v>0</v>
      </c>
      <c r="F43" s="144"/>
      <c r="G43" s="124"/>
      <c r="H43" s="125"/>
      <c r="I43" s="145"/>
    </row>
    <row r="44" spans="2:10" ht="15.75" thickBot="1" x14ac:dyDescent="0.3">
      <c r="B44" s="146">
        <v>44</v>
      </c>
      <c r="C44" s="147" t="s">
        <v>116</v>
      </c>
      <c r="D44" s="11"/>
      <c r="E44" s="148" t="str">
        <f>IF(D44=Data!A267,Data!B267,IF(D44=Data!A268,Data!B268,""))</f>
        <v/>
      </c>
      <c r="F44" s="136"/>
      <c r="G44" s="149"/>
      <c r="H44" s="151"/>
      <c r="I44" s="158"/>
    </row>
    <row r="45" spans="2:10" ht="15.75" thickBot="1" x14ac:dyDescent="0.3">
      <c r="B45" s="146">
        <v>45</v>
      </c>
      <c r="C45" s="152" t="s">
        <v>120</v>
      </c>
      <c r="D45" s="10"/>
      <c r="E45" s="159" t="str">
        <f>IF(E$44="0","000",IF(D45="","",IF(D45=0,"000",IF(D45&gt;0,D45,""))))</f>
        <v/>
      </c>
      <c r="F45" s="136"/>
      <c r="G45" s="149"/>
      <c r="H45" s="189" t="str">
        <f>IF(D45="","",IF(E$44="0",IF(D45=0,"","Error - communication is not required, the line must be empty"),IF(D45=0,"Error - enter a number between 1 and 255","")))</f>
        <v/>
      </c>
      <c r="I45" s="158"/>
    </row>
    <row r="46" spans="2:10" ht="15.75" thickBot="1" x14ac:dyDescent="0.3">
      <c r="B46" s="146">
        <v>46</v>
      </c>
      <c r="C46" s="152" t="s">
        <v>157</v>
      </c>
      <c r="D46" s="10"/>
      <c r="E46" s="159" t="str">
        <f>IF(E$44="0","000",IF(D46="","",IF(D46=0,"000",IF(D46&gt;0,D46,""))))</f>
        <v/>
      </c>
      <c r="F46" s="136"/>
      <c r="G46" s="149"/>
      <c r="H46" s="189" t="str">
        <f>IF(D46="","",IF(E$44="0",IF(D46=0,"","Error - communication is not required, the line must be empty!"),IF(D46=0,"Error - enter a number between 1 and 255","")))</f>
        <v/>
      </c>
      <c r="I46" s="158"/>
    </row>
    <row r="47" spans="2:10" ht="15.75" thickBot="1" x14ac:dyDescent="0.3">
      <c r="B47" s="146">
        <v>47</v>
      </c>
      <c r="C47" s="152" t="s">
        <v>121</v>
      </c>
      <c r="D47" s="11"/>
      <c r="E47" s="148" t="str">
        <f>IF(E44="0","0",IF(D47=Data!A275,Data!B275,IF(D47=Data!A276,Data!B276,IF(D47=Data!A277,Data!B277,IF(D47=Data!A278,Data!B278,IF(D47=Data!A279,Data!B279,IF(D47=Data!A280,Data!B280,"")))))))</f>
        <v/>
      </c>
      <c r="F47" s="136"/>
      <c r="G47" s="149"/>
      <c r="H47" s="189" t="str">
        <f>IF(D47="","",IF(E$44="0",IF(D47="0","","Error - Communication is not required, the line must be empty!"),IF(D47="0","Error - select the speed in Bd","")))</f>
        <v/>
      </c>
      <c r="I47" s="158"/>
    </row>
    <row r="48" spans="2:10" ht="15.75" thickBot="1" x14ac:dyDescent="0.3">
      <c r="B48" s="146">
        <v>48</v>
      </c>
      <c r="C48" s="152" t="s">
        <v>117</v>
      </c>
      <c r="D48" s="19"/>
      <c r="E48" s="148" t="str">
        <f>IF(E44="0","0",IF(D48=Data!A282,Data!B282,IF(D48=Data!A283,Data!B283,IF(D48=Data!A284,Data!B284,IF(D48=Data!A285,Data!B285,IF(D48=Data!A286,Data!B286,IF(D48=Data!A287,Data!B287,"")))))))</f>
        <v/>
      </c>
      <c r="F48" s="136"/>
      <c r="G48" s="149"/>
      <c r="H48" s="189" t="str">
        <f>IF(D48="","",IF(E$44="0",IF(D48="No communication","","Error - communication is not required, the line must be empty!"),IF(E48=0,"Error - select another parity value","")))</f>
        <v/>
      </c>
      <c r="I48" s="158"/>
    </row>
    <row r="49" spans="2:9" ht="16.5" thickBot="1" x14ac:dyDescent="0.3">
      <c r="B49" s="126" t="s">
        <v>51</v>
      </c>
      <c r="C49" s="121" t="s">
        <v>118</v>
      </c>
      <c r="D49" s="127" t="s">
        <v>51</v>
      </c>
      <c r="E49" s="134" t="s">
        <v>0</v>
      </c>
      <c r="F49" s="144"/>
      <c r="G49" s="124"/>
      <c r="H49" s="125"/>
      <c r="I49" s="145"/>
    </row>
    <row r="50" spans="2:9" ht="15.75" thickBot="1" x14ac:dyDescent="0.3">
      <c r="B50" s="146">
        <v>50</v>
      </c>
      <c r="C50" s="147" t="s">
        <v>119</v>
      </c>
      <c r="D50" s="19"/>
      <c r="E50" s="148" t="str">
        <f>IF(D50=Data!A289,Data!B289,IF(D50=Data!A290,Data!B290,IF(D50=Data!A291,Data!B291,IF(D50=Data!A292,Data!B292,IF(D50=Data!A293,Data!B293,"")))))</f>
        <v/>
      </c>
      <c r="F50" s="136"/>
      <c r="G50" s="149"/>
      <c r="H50" s="192" t="str">
        <f>IF(E50=1,"Max. error for upper flow range: ±2 % for temperatures up to 30 °C and ±3 % for temperatures above 30 °C.
For the lower area: ±5 % regardless of temperature.",IF(E50=8,"Applies to flow range 5–100% Q4",IF(E50=9,"Applies to flow range 10–100% Q4","")))</f>
        <v/>
      </c>
      <c r="I50" s="158"/>
    </row>
    <row r="51" spans="2:9" ht="16.5" thickBot="1" x14ac:dyDescent="0.3">
      <c r="B51" s="126" t="s">
        <v>51</v>
      </c>
      <c r="C51" s="121" t="s">
        <v>122</v>
      </c>
      <c r="D51" s="127" t="s">
        <v>51</v>
      </c>
      <c r="E51" s="134" t="s">
        <v>0</v>
      </c>
      <c r="F51" s="144"/>
      <c r="G51" s="124"/>
      <c r="H51" s="125"/>
      <c r="I51" s="145"/>
    </row>
    <row r="52" spans="2:9" ht="15.75" thickBot="1" x14ac:dyDescent="0.3">
      <c r="B52" s="146">
        <v>52</v>
      </c>
      <c r="C52" s="147" t="s">
        <v>123</v>
      </c>
      <c r="D52" s="64"/>
      <c r="E52" s="159" t="str">
        <f>IF(D52="","",IF(D52=0,"000",IF(D52&gt;0,D52,"")))</f>
        <v/>
      </c>
      <c r="F52" s="136"/>
      <c r="G52" s="149"/>
      <c r="H52" s="151"/>
      <c r="I52" s="158"/>
    </row>
    <row r="53" spans="2:9" ht="15.75" thickBot="1" x14ac:dyDescent="0.3">
      <c r="B53" s="146">
        <v>53</v>
      </c>
      <c r="C53" s="147" t="s">
        <v>124</v>
      </c>
      <c r="D53" s="19"/>
      <c r="E53" s="148" t="str">
        <f>IF(D53=Data!A297,Data!B297,IF(D53=Data!A298,Data!B298,IF(D53=Data!A299,Data!B299,"")))</f>
        <v/>
      </c>
      <c r="F53" s="136"/>
      <c r="G53" s="149"/>
      <c r="H53" s="151"/>
      <c r="I53" s="158"/>
    </row>
    <row r="54" spans="2:9" ht="15.75" thickBot="1" x14ac:dyDescent="0.3">
      <c r="B54" s="146">
        <v>54</v>
      </c>
      <c r="C54" s="147" t="s">
        <v>125</v>
      </c>
      <c r="D54" s="19"/>
      <c r="E54" s="148" t="str">
        <f>IF(D54=Data!A301,Data!B301,IF(D54=Data!A302,Data!B302,IF(D54=Data!A303,Data!B303,IF(D54=Data!A304,Data!B304,""))))</f>
        <v/>
      </c>
      <c r="F54" s="136"/>
      <c r="G54" s="149"/>
      <c r="H54" s="151"/>
      <c r="I54" s="158"/>
    </row>
    <row r="55" spans="2:9" ht="15.75" thickBot="1" x14ac:dyDescent="0.3">
      <c r="B55" s="146">
        <v>55</v>
      </c>
      <c r="C55" s="147" t="s">
        <v>126</v>
      </c>
      <c r="D55" s="19"/>
      <c r="E55" s="148" t="str">
        <f>IF(D55=Data!A306,Data!B306,IF(D55=Data!A307,Data!B307,IF(D55=Data!A308,Data!B308,IF(D55=Data!A309,Data!B309,IF(D55=Data!A310,Data!B310,IF(D55=Data!A311,Data!B311,""))))))</f>
        <v/>
      </c>
      <c r="F55" s="136"/>
      <c r="G55" s="149"/>
      <c r="H55" s="151"/>
      <c r="I55" s="158"/>
    </row>
    <row r="56" spans="2:9" ht="16.5" thickBot="1" x14ac:dyDescent="0.3">
      <c r="B56" s="126" t="s">
        <v>51</v>
      </c>
      <c r="C56" s="121" t="s">
        <v>158</v>
      </c>
      <c r="D56" s="127" t="s">
        <v>51</v>
      </c>
      <c r="E56" s="134" t="s">
        <v>0</v>
      </c>
      <c r="F56" s="160"/>
      <c r="G56" s="124"/>
      <c r="H56" s="125"/>
      <c r="I56" s="145"/>
    </row>
    <row r="57" spans="2:9" ht="15.75" thickBot="1" x14ac:dyDescent="0.3">
      <c r="B57" s="161">
        <v>57</v>
      </c>
      <c r="C57" s="162" t="s">
        <v>128</v>
      </c>
      <c r="D57" s="163" t="s">
        <v>286</v>
      </c>
      <c r="E57" s="164">
        <v>1</v>
      </c>
      <c r="F57" s="165"/>
      <c r="G57" s="166"/>
      <c r="H57" s="167"/>
      <c r="I57" s="168"/>
    </row>
    <row r="58" spans="2:9" ht="18" thickBot="1" x14ac:dyDescent="0.3">
      <c r="B58" s="169">
        <v>58</v>
      </c>
      <c r="C58" s="170" t="s">
        <v>129</v>
      </c>
      <c r="D58" s="89"/>
      <c r="E58" s="128"/>
      <c r="F58" s="165"/>
      <c r="G58" s="166"/>
      <c r="H58" s="167"/>
      <c r="I58" s="168"/>
    </row>
    <row r="59" spans="2:9" ht="9.75" customHeight="1" thickBot="1" x14ac:dyDescent="0.3">
      <c r="E59" s="41"/>
      <c r="H59" s="29"/>
    </row>
    <row r="60" spans="2:9" ht="20.25" customHeight="1" x14ac:dyDescent="0.2">
      <c r="B60" s="171"/>
      <c r="C60" s="172" t="s">
        <v>434</v>
      </c>
      <c r="D60" s="173"/>
      <c r="E60" s="174"/>
      <c r="F60" s="174"/>
      <c r="G60" s="175" t="s">
        <v>173</v>
      </c>
      <c r="H60" s="176"/>
      <c r="I60" s="177"/>
    </row>
    <row r="61" spans="2:9" ht="19.5" customHeight="1" x14ac:dyDescent="0.25">
      <c r="B61" s="178"/>
      <c r="C61" s="91" t="str">
        <f>IF(Nezadano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28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&amp;Tech!B53&amp;Tech!B54&amp;Tech!B55&amp;Tech!B56,"The complete order number is not generated until all parameters have been entered.")</f>
        <v>The complete order number is not generated until all parameters have been entered.</v>
      </c>
      <c r="D61" s="92"/>
      <c r="E61" s="179"/>
      <c r="F61" s="179"/>
      <c r="G61" s="180" t="s">
        <v>174</v>
      </c>
      <c r="H61" s="181"/>
      <c r="I61" s="140"/>
    </row>
    <row r="62" spans="2:9" ht="19.5" customHeight="1" thickBot="1" x14ac:dyDescent="0.3">
      <c r="B62" s="182"/>
      <c r="C62" s="102" t="str">
        <f>IF(NezadanHW=0,Tech!B4&amp;Tech!B5&amp;Tech!B6&amp;Tech!B7&amp;Tech!B8&amp;Tech!B9&amp;Tech!B10&amp;Tech!B11&amp;Tech!B12&amp;Tech!B13&amp;Tech!B14&amp;Tech!B15&amp;Tech!B16&amp;Tech!B17&amp;Tech!B18&amp;Tech!B19&amp;Tech!B20&amp;Tech!B21,"")</f>
        <v/>
      </c>
      <c r="D62" s="84" t="str">
        <f>IF(NezadanHW=0,"← This part of the Order number defines the product design.","")</f>
        <v/>
      </c>
      <c r="E62" s="183"/>
      <c r="F62" s="184"/>
      <c r="G62" s="185"/>
      <c r="H62" s="185"/>
      <c r="I62" s="186"/>
    </row>
    <row r="63" spans="2:9" ht="9.75" customHeight="1" thickBot="1" x14ac:dyDescent="0.3">
      <c r="E63" s="41"/>
      <c r="H63" s="29"/>
      <c r="I63" s="67" t="str">
        <f>IF(Nezadano&gt;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&amp;Tech!B53&amp;Tech!B54&amp;Tech!B55&amp;Tech!B56,"Vygeneruje se až po zadání všech parametrů.")</f>
        <v>FN20.1------1</v>
      </c>
    </row>
    <row r="64" spans="2:9" ht="23.25" customHeight="1" x14ac:dyDescent="0.25">
      <c r="B64" s="27"/>
      <c r="C64" s="28" t="s">
        <v>262</v>
      </c>
      <c r="D64" s="117"/>
      <c r="E64" s="74"/>
      <c r="F64" s="116"/>
      <c r="G64" s="77" t="s">
        <v>162</v>
      </c>
      <c r="H64" s="78"/>
      <c r="I64" s="81"/>
    </row>
    <row r="65" spans="2:9" ht="145.5" customHeight="1" x14ac:dyDescent="0.25">
      <c r="B65" s="22"/>
      <c r="C65" s="218"/>
      <c r="D65" s="218"/>
      <c r="E65" s="75"/>
      <c r="F65" s="23"/>
      <c r="G65" s="219" t="str">
        <f>SoupisNP</f>
        <v/>
      </c>
      <c r="H65" s="220"/>
      <c r="I65" s="82"/>
    </row>
    <row r="66" spans="2:9" ht="8.25" customHeight="1" thickBot="1" x14ac:dyDescent="0.3">
      <c r="B66" s="22"/>
      <c r="C66" s="23"/>
      <c r="D66" s="23"/>
      <c r="E66" s="75"/>
      <c r="F66" s="23"/>
      <c r="G66" s="23"/>
      <c r="H66" s="79"/>
      <c r="I66" s="82"/>
    </row>
    <row r="67" spans="2:9" ht="17.45" customHeight="1" thickBot="1" x14ac:dyDescent="0.3">
      <c r="B67" s="24"/>
      <c r="C67" s="21" t="s">
        <v>159</v>
      </c>
      <c r="D67" s="42"/>
      <c r="E67" s="75"/>
      <c r="F67" s="23"/>
      <c r="G67" s="23"/>
      <c r="H67" s="79"/>
      <c r="I67" s="82"/>
    </row>
    <row r="68" spans="2:9" ht="17.45" customHeight="1" thickBot="1" x14ac:dyDescent="0.3">
      <c r="B68" s="24"/>
      <c r="C68" s="21" t="s">
        <v>160</v>
      </c>
      <c r="D68" s="65"/>
      <c r="E68" s="75"/>
      <c r="F68" s="23"/>
      <c r="G68" s="23"/>
      <c r="H68" s="79"/>
      <c r="I68" s="82"/>
    </row>
    <row r="69" spans="2:9" ht="17.45" customHeight="1" thickBot="1" x14ac:dyDescent="0.3">
      <c r="B69" s="24"/>
      <c r="C69" s="21" t="s">
        <v>163</v>
      </c>
      <c r="D69" s="65"/>
      <c r="E69" s="75"/>
      <c r="F69" s="23"/>
      <c r="G69" s="23"/>
      <c r="H69" s="79"/>
      <c r="I69" s="82"/>
    </row>
    <row r="70" spans="2:9" ht="17.45" customHeight="1" thickBot="1" x14ac:dyDescent="0.3">
      <c r="B70" s="24"/>
      <c r="C70" s="21" t="s">
        <v>164</v>
      </c>
      <c r="D70" s="65"/>
      <c r="E70" s="75"/>
      <c r="F70" s="23"/>
      <c r="G70" s="23"/>
      <c r="H70" s="79"/>
      <c r="I70" s="82"/>
    </row>
    <row r="71" spans="2:9" ht="17.45" customHeight="1" thickBot="1" x14ac:dyDescent="0.3">
      <c r="B71" s="24"/>
      <c r="C71" s="21" t="s">
        <v>381</v>
      </c>
      <c r="D71" s="65"/>
      <c r="E71" s="75"/>
      <c r="F71" s="23"/>
      <c r="G71" s="23"/>
      <c r="H71" s="79"/>
      <c r="I71" s="82"/>
    </row>
    <row r="72" spans="2:9" ht="17.45" customHeight="1" thickBot="1" x14ac:dyDescent="0.3">
      <c r="B72" s="24"/>
      <c r="C72" s="21" t="s">
        <v>382</v>
      </c>
      <c r="D72" s="66"/>
      <c r="E72" s="75"/>
      <c r="F72" s="23"/>
      <c r="G72" s="23"/>
      <c r="H72" s="79"/>
      <c r="I72" s="82"/>
    </row>
    <row r="73" spans="2:9" ht="8.25" customHeight="1" thickBot="1" x14ac:dyDescent="0.3">
      <c r="B73" s="25"/>
      <c r="C73" s="26"/>
      <c r="D73" s="26"/>
      <c r="E73" s="76"/>
      <c r="F73" s="26"/>
      <c r="G73" s="26"/>
      <c r="H73" s="80"/>
      <c r="I73" s="83"/>
    </row>
    <row r="74" spans="2:9" ht="18" customHeight="1" x14ac:dyDescent="0.25">
      <c r="B74" s="217" t="s">
        <v>437</v>
      </c>
    </row>
  </sheetData>
  <sheetProtection algorithmName="SHA-512" hashValue="QD3J3S9JX/TjhUs/vZVF7U5oTmpr3ue+db7xexh3ADkl5YqNMsygLIgUs7kFmL5EGIdZgesQwgmRHw/X7sKRgg==" saltValue="uI+q1hlLW9FB2kKfiMutoA==" spinCount="100000" sheet="1" objects="1" scenarios="1" formatColumns="0" formatRows="0"/>
  <mergeCells count="2">
    <mergeCell ref="C65:D65"/>
    <mergeCell ref="G65:H65"/>
  </mergeCells>
  <conditionalFormatting sqref="C22">
    <cfRule type="expression" dxfId="23" priority="21">
      <formula>$E$21="0"</formula>
    </cfRule>
  </conditionalFormatting>
  <conditionalFormatting sqref="C25">
    <cfRule type="expression" dxfId="22" priority="22">
      <formula>$E$6=4</formula>
    </cfRule>
    <cfRule type="expression" dxfId="21" priority="23">
      <formula>$E$6=0</formula>
    </cfRule>
  </conditionalFormatting>
  <conditionalFormatting sqref="C29:C30">
    <cfRule type="expression" dxfId="20" priority="16">
      <formula>$E$6=0</formula>
    </cfRule>
    <cfRule type="expression" dxfId="19" priority="20">
      <formula>$E$6=1</formula>
    </cfRule>
  </conditionalFormatting>
  <conditionalFormatting sqref="C30">
    <cfRule type="expression" dxfId="18" priority="15">
      <formula>$E$29=0</formula>
    </cfRule>
  </conditionalFormatting>
  <conditionalFormatting sqref="C32">
    <cfRule type="expression" dxfId="17" priority="11">
      <formula>$E$6=0</formula>
    </cfRule>
    <cfRule type="expression" dxfId="16" priority="12">
      <formula>$E$6=1</formula>
    </cfRule>
  </conditionalFormatting>
  <conditionalFormatting sqref="C34">
    <cfRule type="expression" dxfId="15" priority="28">
      <formula>$E$33="0"</formula>
    </cfRule>
  </conditionalFormatting>
  <conditionalFormatting sqref="C35:C36">
    <cfRule type="expression" dxfId="14" priority="3">
      <formula>$E$6=0</formula>
    </cfRule>
    <cfRule type="expression" dxfId="13" priority="4">
      <formula>$E$6=1</formula>
    </cfRule>
  </conditionalFormatting>
  <conditionalFormatting sqref="C45:C48">
    <cfRule type="expression" dxfId="12" priority="37">
      <formula>$E$44="0"</formula>
    </cfRule>
  </conditionalFormatting>
  <conditionalFormatting sqref="D22">
    <cfRule type="expression" dxfId="11" priority="31">
      <formula>$E$21="0"</formula>
    </cfRule>
  </conditionalFormatting>
  <conditionalFormatting sqref="D25">
    <cfRule type="expression" dxfId="10" priority="34" stopIfTrue="1">
      <formula>$E$6=0</formula>
    </cfRule>
    <cfRule type="expression" dxfId="9" priority="35">
      <formula>$E$6=4</formula>
    </cfRule>
  </conditionalFormatting>
  <conditionalFormatting sqref="D29:D30">
    <cfRule type="expression" dxfId="8" priority="13">
      <formula>$E$6=1</formula>
    </cfRule>
    <cfRule type="expression" dxfId="7" priority="14">
      <formula>$E$6=0</formula>
    </cfRule>
  </conditionalFormatting>
  <conditionalFormatting sqref="D30">
    <cfRule type="expression" dxfId="6" priority="41">
      <formula>$E$29=0</formula>
    </cfRule>
  </conditionalFormatting>
  <conditionalFormatting sqref="D32">
    <cfRule type="expression" dxfId="5" priority="9">
      <formula>$E$6=1</formula>
    </cfRule>
    <cfRule type="expression" dxfId="4" priority="10">
      <formula>$E$6=0</formula>
    </cfRule>
  </conditionalFormatting>
  <conditionalFormatting sqref="D34">
    <cfRule type="expression" dxfId="3" priority="29">
      <formula>$E$33="0"</formula>
    </cfRule>
  </conditionalFormatting>
  <conditionalFormatting sqref="D35:D36">
    <cfRule type="expression" dxfId="2" priority="1">
      <formula>$E$6=1</formula>
    </cfRule>
    <cfRule type="expression" dxfId="1" priority="2">
      <formula>$E$6=0</formula>
    </cfRule>
  </conditionalFormatting>
  <conditionalFormatting sqref="D45:D48">
    <cfRule type="expression" dxfId="0" priority="38">
      <formula>$E$44="0"</formula>
    </cfRule>
  </conditionalFormatting>
  <dataValidations count="44">
    <dataValidation type="list" allowBlank="1" showInputMessage="1" showErrorMessage="1" sqref="D5" xr:uid="{00000000-0002-0000-0000-000000000000}">
      <formula1>OC_PMC</formula1>
    </dataValidation>
    <dataValidation type="list" allowBlank="1" showInputMessage="1" showErrorMessage="1" sqref="D6" xr:uid="{00000000-0002-0000-0000-000001000000}">
      <formula1>OC_VaPP</formula1>
    </dataValidation>
    <dataValidation type="list" allowBlank="1" showInputMessage="1" showErrorMessage="1" sqref="D8" xr:uid="{00000000-0002-0000-0000-000002000000}">
      <formula1>OC_DC</formula1>
    </dataValidation>
    <dataValidation type="list" allowBlank="1" showInputMessage="1" showErrorMessage="1" sqref="D9" xr:uid="{00000000-0002-0000-0000-000003000000}">
      <formula1>OC_PC</formula1>
    </dataValidation>
    <dataValidation type="list" allowBlank="1" showInputMessage="1" showErrorMessage="1" sqref="D10" xr:uid="{00000000-0002-0000-0000-000004000000}">
      <formula1>OC_MaPUC</formula1>
    </dataValidation>
    <dataValidation type="list" allowBlank="1" showInputMessage="1" showErrorMessage="1" sqref="D11" xr:uid="{00000000-0002-0000-0000-000005000000}">
      <formula1>OC_ME</formula1>
    </dataValidation>
    <dataValidation type="list" allowBlank="1" showInputMessage="1" showErrorMessage="1" sqref="D13" xr:uid="{00000000-0002-0000-0000-000006000000}">
      <formula1>OC_VC</formula1>
    </dataValidation>
    <dataValidation type="list" allowBlank="1" showInputMessage="1" showErrorMessage="1" sqref="D38" xr:uid="{00000000-0002-0000-0000-000007000000}">
      <formula1>OC_FVOUT1</formula1>
    </dataValidation>
    <dataValidation type="list" allowBlank="1" showErrorMessage="1" promptTitle="Upozornění" prompt="IP 68 nelze provést u kompaktního provedení!" sqref="D14" xr:uid="{00000000-0002-0000-0000-000008000000}">
      <formula1>OC_KC</formula1>
    </dataValidation>
    <dataValidation type="list" allowBlank="1" showInputMessage="1" showErrorMessage="1" sqref="D12" xr:uid="{00000000-0002-0000-0000-000009000000}">
      <formula1>OC_ZE</formula1>
    </dataValidation>
    <dataValidation type="list" allowBlank="1" showInputMessage="1" showErrorMessage="1" sqref="D15" xr:uid="{00000000-0002-0000-0000-00000A000000}">
      <formula1>OC_JT</formula1>
    </dataValidation>
    <dataValidation type="list" allowBlank="1" showInputMessage="1" showErrorMessage="1" sqref="D16" xr:uid="{00000000-0002-0000-0000-00000B000000}">
      <formula1>OC_MPTM</formula1>
    </dataValidation>
    <dataValidation type="list" allowBlank="1" showInputMessage="1" showErrorMessage="1" sqref="D25" xr:uid="{00000000-0002-0000-0000-00000C000000}">
      <formula1>OC_DK</formula1>
    </dataValidation>
    <dataValidation type="list" allowBlank="1" showInputMessage="1" showErrorMessage="1" sqref="D18" xr:uid="{00000000-0002-0000-0000-00000D000000}">
      <formula1>OC_N</formula1>
    </dataValidation>
    <dataValidation type="list" allowBlank="1" showInputMessage="1" showErrorMessage="1" sqref="D20" xr:uid="{00000000-0002-0000-0000-00000E000000}">
      <formula1>OC_INP</formula1>
    </dataValidation>
    <dataValidation type="list" allowBlank="1" showInputMessage="1" showErrorMessage="1" sqref="D21 D25" xr:uid="{00000000-0002-0000-0000-00000F000000}">
      <formula1>OC_DTdPED</formula1>
    </dataValidation>
    <dataValidation type="list" allowBlank="1" showInputMessage="1" showErrorMessage="1" sqref="D27" xr:uid="{00000000-0002-0000-0000-000010000000}">
      <formula1>OC_DM</formula1>
    </dataValidation>
    <dataValidation type="list" allowBlank="1" showInputMessage="1" showErrorMessage="1" sqref="D28" xr:uid="{00000000-0002-0000-0000-000011000000}">
      <formula1>OC_NM</formula1>
    </dataValidation>
    <dataValidation type="list" allowBlank="1" showInputMessage="1" showErrorMessage="1" sqref="D29" xr:uid="{00000000-0002-0000-0000-000012000000}">
      <formula1>OC_D</formula1>
    </dataValidation>
    <dataValidation type="list" allowBlank="1" showInputMessage="1" showErrorMessage="1" sqref="D31" xr:uid="{00000000-0002-0000-0000-000013000000}">
      <formula1>OC_PVpP</formula1>
    </dataValidation>
    <dataValidation type="list" allowBlank="1" showInputMessage="1" showErrorMessage="1" sqref="D34" xr:uid="{00000000-0002-0000-0000-000014000000}">
      <formula1>OC_JIC</formula1>
    </dataValidation>
    <dataValidation type="list" allowBlank="1" showInputMessage="1" showErrorMessage="1" sqref="D33" xr:uid="{00000000-0002-0000-0000-000015000000}">
      <formula1>OC_IC</formula1>
    </dataValidation>
    <dataValidation type="list" allowBlank="1" showInputMessage="1" showErrorMessage="1" sqref="D35" xr:uid="{00000000-0002-0000-0000-000016000000}">
      <formula1>OC_VPvNM</formula1>
    </dataValidation>
    <dataValidation type="list" allowBlank="1" showInputMessage="1" showErrorMessage="1" sqref="D36" xr:uid="{00000000-0002-0000-0000-000017000000}">
      <formula1>OC_ACH</formula1>
    </dataValidation>
    <dataValidation type="list" allowBlank="1" showInputMessage="1" showErrorMessage="1" sqref="D37" xr:uid="{00000000-0002-0000-0000-000018000000}">
      <formula1>OC_PV_PpIQ</formula1>
    </dataValidation>
    <dataValidation type="list" allowBlank="1" showInputMessage="1" showErrorMessage="1" sqref="D39" xr:uid="{00000000-0002-0000-0000-000019000000}">
      <formula1>OC_FVOUT2</formula1>
    </dataValidation>
    <dataValidation type="list" allowBlank="1" showInputMessage="1" showErrorMessage="1" sqref="D40" xr:uid="{00000000-0002-0000-0000-00001A000000}">
      <formula1>OC_FR</formula1>
    </dataValidation>
    <dataValidation type="list" allowBlank="1" showInputMessage="1" showErrorMessage="1" sqref="D41" xr:uid="{00000000-0002-0000-0000-00001B000000}">
      <formula1>OC_CE</formula1>
    </dataValidation>
    <dataValidation type="list" allowBlank="1" showInputMessage="1" showErrorMessage="1" sqref="D42" xr:uid="{00000000-0002-0000-0000-00001C000000}">
      <formula1>OC_ZJ</formula1>
    </dataValidation>
    <dataValidation type="list" allowBlank="1" showInputMessage="1" showErrorMessage="1" sqref="D44" xr:uid="{00000000-0002-0000-0000-00001D000000}">
      <formula1>OC_R</formula1>
    </dataValidation>
    <dataValidation type="list" allowBlank="1" showInputMessage="1" showErrorMessage="1" sqref="D47" xr:uid="{00000000-0002-0000-0000-00001E000000}">
      <formula1>OC_RP</formula1>
    </dataValidation>
    <dataValidation type="list" allowBlank="1" showInputMessage="1" showErrorMessage="1" sqref="D48" xr:uid="{00000000-0002-0000-0000-00001F000000}">
      <formula1>OC_P</formula1>
    </dataValidation>
    <dataValidation type="whole" allowBlank="1" showInputMessage="1" showErrorMessage="1" errorTitle="CHYBA" error="Číslo musí být v rozsahu 1 až 255." sqref="D45:D46" xr:uid="{00000000-0002-0000-0000-000020000000}">
      <formula1>1</formula1>
      <formula2>255</formula2>
    </dataValidation>
    <dataValidation type="list" allowBlank="1" showInputMessage="1" showErrorMessage="1" sqref="D50" xr:uid="{00000000-0002-0000-0000-000021000000}">
      <formula1>OC_K</formula1>
    </dataValidation>
    <dataValidation type="list" allowBlank="1" showInputMessage="1" showErrorMessage="1" sqref="D54" xr:uid="{00000000-0002-0000-0000-000022000000}">
      <formula1>OC_ZP</formula1>
    </dataValidation>
    <dataValidation type="list" allowBlank="1" showInputMessage="1" showErrorMessage="1" sqref="D55" xr:uid="{00000000-0002-0000-0000-000023000000}">
      <formula1>OC_Z</formula1>
    </dataValidation>
    <dataValidation type="list" allowBlank="1" showInputMessage="1" showErrorMessage="1" sqref="D22" xr:uid="{00000000-0002-0000-0000-000024000000}">
      <formula1>OC_KdPED</formula1>
    </dataValidation>
    <dataValidation type="list" allowBlank="1" showInputMessage="1" showErrorMessage="1" sqref="D17" xr:uid="{00000000-0002-0000-0000-000025000000}">
      <formula1>OC_MDT</formula1>
    </dataValidation>
    <dataValidation type="list" allowBlank="1" showInputMessage="1" showErrorMessage="1" sqref="D12 D24" xr:uid="{00000000-0002-0000-0000-000026000000}">
      <formula1>OC_ZK</formula1>
    </dataValidation>
    <dataValidation type="list" allowBlank="1" showInputMessage="1" showErrorMessage="1" sqref="D53" xr:uid="{00000000-0002-0000-0000-000027000000}">
      <formula1>OC_B</formula1>
    </dataValidation>
    <dataValidation type="list" allowBlank="1" showInputMessage="1" showErrorMessage="1" sqref="D32:D33" xr:uid="{00000000-0002-0000-0000-000028000000}">
      <formula1>OC_JZP</formula1>
    </dataValidation>
    <dataValidation type="whole" allowBlank="1" showInputMessage="1" showErrorMessage="1" sqref="D52" xr:uid="{00000000-0002-0000-0000-000029000000}">
      <formula1>0</formula1>
      <formula2>999</formula2>
    </dataValidation>
    <dataValidation type="list" allowBlank="1" showInputMessage="1" showErrorMessage="1" errorTitle="CHYBA" error="Hodnota musí být v rozsahu 1 až 999. Případně zadejte hodnotu v jiné jednotce." sqref="D30" xr:uid="{00000000-0002-0000-0000-00002A000000}">
      <formula1>OC_VD</formula1>
    </dataValidation>
    <dataValidation type="list" allowBlank="1" showInputMessage="1" showErrorMessage="1" sqref="D19" xr:uid="{00000000-0002-0000-0000-00002B000000}">
      <formula1>OC_KSE</formula1>
    </dataValidation>
  </dataValidations>
  <pageMargins left="0.62992125984251968" right="0.23622047244094491" top="0.74803149606299213" bottom="0.74803149606299213" header="0.31496062992125984" footer="0.31496062992125984"/>
  <pageSetup paperSize="9" scale="94" fitToHeight="0" orientation="portrait" r:id="rId1"/>
  <headerFooter>
    <oddFooter>&amp;L&amp;"-,Kurzíva"&amp;10Tisk dne: &amp;D&amp;C&amp;"-,Kurzíva"&amp;10&amp;F&amp;R&amp;"-,Kurzíva"&amp;10&amp;P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H311"/>
  <sheetViews>
    <sheetView topLeftCell="A48" zoomScaleNormal="100" workbookViewId="0">
      <selection activeCell="F72" sqref="F72"/>
    </sheetView>
  </sheetViews>
  <sheetFormatPr defaultRowHeight="15" x14ac:dyDescent="0.25"/>
  <cols>
    <col min="1" max="1" width="86.140625" customWidth="1"/>
    <col min="3" max="3" width="10.7109375" customWidth="1"/>
    <col min="4" max="4" width="16.42578125" customWidth="1"/>
    <col min="5" max="5" width="14.140625" customWidth="1"/>
    <col min="6" max="6" width="26.42578125" bestFit="1" customWidth="1"/>
    <col min="8" max="8" width="14.42578125" customWidth="1"/>
  </cols>
  <sheetData>
    <row r="1" spans="1:6" x14ac:dyDescent="0.25">
      <c r="A1" s="5" t="s">
        <v>264</v>
      </c>
      <c r="B1" s="90" t="s">
        <v>136</v>
      </c>
      <c r="F1" s="115" t="s">
        <v>384</v>
      </c>
    </row>
    <row r="2" spans="1:6" x14ac:dyDescent="0.25">
      <c r="A2" s="6" t="s">
        <v>137</v>
      </c>
      <c r="B2" s="4">
        <v>1</v>
      </c>
      <c r="F2" s="106"/>
    </row>
    <row r="3" spans="1:6" x14ac:dyDescent="0.25">
      <c r="A3" s="6" t="s">
        <v>138</v>
      </c>
      <c r="B3" s="4">
        <v>2</v>
      </c>
      <c r="F3" s="106"/>
    </row>
    <row r="4" spans="1:6" x14ac:dyDescent="0.25">
      <c r="A4" s="6" t="s">
        <v>139</v>
      </c>
      <c r="B4" s="4" t="s">
        <v>257</v>
      </c>
      <c r="F4" s="106"/>
    </row>
    <row r="5" spans="1:6" x14ac:dyDescent="0.25">
      <c r="A5" s="5" t="s">
        <v>265</v>
      </c>
      <c r="B5" s="15"/>
      <c r="F5" s="106"/>
    </row>
    <row r="6" spans="1:6" x14ac:dyDescent="0.25">
      <c r="A6" s="6" t="s">
        <v>255</v>
      </c>
      <c r="B6" s="4">
        <v>0</v>
      </c>
      <c r="F6" s="106"/>
    </row>
    <row r="7" spans="1:6" x14ac:dyDescent="0.25">
      <c r="A7" s="6" t="s">
        <v>256</v>
      </c>
      <c r="B7" s="4">
        <v>1</v>
      </c>
      <c r="C7" s="107" t="s">
        <v>385</v>
      </c>
      <c r="F7" s="106"/>
    </row>
    <row r="8" spans="1:6" x14ac:dyDescent="0.25">
      <c r="A8" s="6" t="s">
        <v>140</v>
      </c>
      <c r="B8" s="4">
        <v>4</v>
      </c>
      <c r="C8" s="111" t="s">
        <v>407</v>
      </c>
      <c r="D8" s="110">
        <v>264.17205235814998</v>
      </c>
      <c r="F8" s="106"/>
    </row>
    <row r="9" spans="1:6" x14ac:dyDescent="0.25">
      <c r="A9" s="6" t="s">
        <v>141</v>
      </c>
      <c r="B9" s="4">
        <v>5</v>
      </c>
      <c r="F9" s="106"/>
    </row>
    <row r="10" spans="1:6" ht="24" x14ac:dyDescent="0.25">
      <c r="A10" s="5" t="s">
        <v>266</v>
      </c>
      <c r="B10" s="15"/>
      <c r="C10" s="112" t="s">
        <v>408</v>
      </c>
      <c r="D10" s="112" t="s">
        <v>383</v>
      </c>
      <c r="E10" s="113" t="s">
        <v>409</v>
      </c>
      <c r="F10" s="106"/>
    </row>
    <row r="11" spans="1:6" x14ac:dyDescent="0.25">
      <c r="A11" s="6" t="s">
        <v>386</v>
      </c>
      <c r="B11" s="4" t="s">
        <v>3</v>
      </c>
      <c r="C11" s="103">
        <v>1</v>
      </c>
      <c r="D11" s="105">
        <f t="shared" ref="D11:D36" si="0">C11*gal_m3</f>
        <v>264.17205235814998</v>
      </c>
      <c r="E11" s="108">
        <f>D11/60</f>
        <v>4.4028675393025001</v>
      </c>
      <c r="F11" s="106"/>
    </row>
    <row r="12" spans="1:6" x14ac:dyDescent="0.25">
      <c r="A12" s="6" t="s">
        <v>387</v>
      </c>
      <c r="B12" s="4" t="s">
        <v>4</v>
      </c>
      <c r="C12" s="103">
        <v>1.8</v>
      </c>
      <c r="D12" s="105">
        <f t="shared" si="0"/>
        <v>475.50969424466996</v>
      </c>
      <c r="E12" s="108">
        <f t="shared" ref="E12:E36" si="1">D12/60</f>
        <v>7.9251615707444989</v>
      </c>
      <c r="F12" s="106"/>
    </row>
    <row r="13" spans="1:6" x14ac:dyDescent="0.25">
      <c r="A13" s="6" t="s">
        <v>388</v>
      </c>
      <c r="B13" s="4" t="s">
        <v>5</v>
      </c>
      <c r="C13" s="103">
        <v>2.8</v>
      </c>
      <c r="D13" s="105">
        <f t="shared" si="0"/>
        <v>739.68174660281989</v>
      </c>
      <c r="E13" s="108">
        <f t="shared" si="1"/>
        <v>12.328029110046998</v>
      </c>
      <c r="F13" s="106"/>
    </row>
    <row r="14" spans="1:6" x14ac:dyDescent="0.25">
      <c r="A14" s="6" t="s">
        <v>389</v>
      </c>
      <c r="B14" s="4" t="s">
        <v>6</v>
      </c>
      <c r="C14" s="103">
        <v>6.5</v>
      </c>
      <c r="D14" s="105">
        <f t="shared" si="0"/>
        <v>1717.1183403279749</v>
      </c>
      <c r="E14" s="108">
        <f t="shared" si="1"/>
        <v>28.61863900546625</v>
      </c>
      <c r="F14" s="106"/>
    </row>
    <row r="15" spans="1:6" x14ac:dyDescent="0.25">
      <c r="A15" s="6" t="s">
        <v>390</v>
      </c>
      <c r="B15" s="4" t="s">
        <v>7</v>
      </c>
      <c r="C15" s="104">
        <v>12</v>
      </c>
      <c r="D15" s="105">
        <f t="shared" si="0"/>
        <v>3170.0646282977996</v>
      </c>
      <c r="E15" s="108">
        <f t="shared" si="1"/>
        <v>52.834410471629994</v>
      </c>
      <c r="F15" s="106"/>
    </row>
    <row r="16" spans="1:6" x14ac:dyDescent="0.25">
      <c r="A16" s="6" t="s">
        <v>391</v>
      </c>
      <c r="B16" s="4" t="s">
        <v>8</v>
      </c>
      <c r="C16" s="104">
        <v>18</v>
      </c>
      <c r="D16" s="105">
        <f t="shared" si="0"/>
        <v>4755.0969424466994</v>
      </c>
      <c r="E16" s="108">
        <f t="shared" si="1"/>
        <v>79.251615707444984</v>
      </c>
      <c r="F16" s="106"/>
    </row>
    <row r="17" spans="1:6" x14ac:dyDescent="0.25">
      <c r="A17" s="6" t="s">
        <v>392</v>
      </c>
      <c r="B17" s="4" t="s">
        <v>9</v>
      </c>
      <c r="C17" s="104">
        <v>30</v>
      </c>
      <c r="D17" s="105">
        <f t="shared" si="0"/>
        <v>7925.1615707444998</v>
      </c>
      <c r="E17" s="108">
        <f t="shared" si="1"/>
        <v>132.08602617907499</v>
      </c>
      <c r="F17" s="106"/>
    </row>
    <row r="18" spans="1:6" x14ac:dyDescent="0.25">
      <c r="A18" s="6" t="s">
        <v>393</v>
      </c>
      <c r="B18" s="4" t="s">
        <v>10</v>
      </c>
      <c r="C18" s="104">
        <v>45</v>
      </c>
      <c r="D18" s="105">
        <f t="shared" si="0"/>
        <v>11887.742356116749</v>
      </c>
      <c r="E18" s="108">
        <f t="shared" si="1"/>
        <v>198.12903926861247</v>
      </c>
      <c r="F18" s="106"/>
    </row>
    <row r="19" spans="1:6" x14ac:dyDescent="0.25">
      <c r="A19" s="6" t="s">
        <v>394</v>
      </c>
      <c r="B19" s="4" t="s">
        <v>11</v>
      </c>
      <c r="C19" s="104">
        <v>72</v>
      </c>
      <c r="D19" s="105">
        <f t="shared" si="0"/>
        <v>19020.387769786797</v>
      </c>
      <c r="E19" s="108">
        <f t="shared" si="1"/>
        <v>317.00646282977993</v>
      </c>
      <c r="F19" s="106"/>
    </row>
    <row r="20" spans="1:6" x14ac:dyDescent="0.25">
      <c r="A20" s="6" t="s">
        <v>395</v>
      </c>
      <c r="B20" s="4" t="s">
        <v>12</v>
      </c>
      <c r="C20" s="104">
        <v>120</v>
      </c>
      <c r="D20" s="105">
        <f t="shared" si="0"/>
        <v>31700.646282977999</v>
      </c>
      <c r="E20" s="108">
        <f t="shared" si="1"/>
        <v>528.34410471629997</v>
      </c>
      <c r="F20" s="106"/>
    </row>
    <row r="21" spans="1:6" x14ac:dyDescent="0.25">
      <c r="A21" s="6" t="s">
        <v>396</v>
      </c>
      <c r="B21" s="4" t="s">
        <v>13</v>
      </c>
      <c r="C21" s="104">
        <v>180</v>
      </c>
      <c r="D21" s="105">
        <f t="shared" si="0"/>
        <v>47550.969424466995</v>
      </c>
      <c r="E21" s="108">
        <f t="shared" si="1"/>
        <v>792.51615707444989</v>
      </c>
      <c r="F21" s="106"/>
    </row>
    <row r="22" spans="1:6" x14ac:dyDescent="0.25">
      <c r="A22" s="6" t="s">
        <v>397</v>
      </c>
      <c r="B22" s="4" t="s">
        <v>14</v>
      </c>
      <c r="C22" s="104">
        <v>280</v>
      </c>
      <c r="D22" s="105">
        <f t="shared" si="0"/>
        <v>73968.174660281991</v>
      </c>
      <c r="E22" s="109">
        <f t="shared" si="1"/>
        <v>1232.8029110046998</v>
      </c>
      <c r="F22" s="106"/>
    </row>
    <row r="23" spans="1:6" x14ac:dyDescent="0.25">
      <c r="A23" s="6" t="s">
        <v>398</v>
      </c>
      <c r="B23" s="4" t="s">
        <v>15</v>
      </c>
      <c r="C23" s="104">
        <v>430</v>
      </c>
      <c r="D23" s="105">
        <f t="shared" si="0"/>
        <v>113593.9825140045</v>
      </c>
      <c r="E23" s="109">
        <f t="shared" si="1"/>
        <v>1893.233041900075</v>
      </c>
      <c r="F23" s="106"/>
    </row>
    <row r="24" spans="1:6" x14ac:dyDescent="0.25">
      <c r="A24" s="6" t="s">
        <v>399</v>
      </c>
      <c r="B24" s="4" t="s">
        <v>16</v>
      </c>
      <c r="C24" s="104">
        <v>650</v>
      </c>
      <c r="D24" s="105">
        <f t="shared" si="0"/>
        <v>171711.83403279749</v>
      </c>
      <c r="E24" s="109">
        <f t="shared" si="1"/>
        <v>2861.8639005466248</v>
      </c>
      <c r="F24" s="106"/>
    </row>
    <row r="25" spans="1:6" x14ac:dyDescent="0.25">
      <c r="A25" s="6" t="s">
        <v>400</v>
      </c>
      <c r="B25" s="4" t="s">
        <v>17</v>
      </c>
      <c r="C25" s="104">
        <v>1150</v>
      </c>
      <c r="D25" s="105">
        <f t="shared" si="0"/>
        <v>303797.8602118725</v>
      </c>
      <c r="E25" s="109">
        <f t="shared" si="1"/>
        <v>5063.297670197875</v>
      </c>
      <c r="F25" s="106"/>
    </row>
    <row r="26" spans="1:6" x14ac:dyDescent="0.25">
      <c r="A26" s="6" t="s">
        <v>401</v>
      </c>
      <c r="B26" s="4" t="s">
        <v>18</v>
      </c>
      <c r="C26" s="104">
        <v>1800</v>
      </c>
      <c r="D26" s="105">
        <f t="shared" si="0"/>
        <v>475509.69424466998</v>
      </c>
      <c r="E26" s="109">
        <f t="shared" si="1"/>
        <v>7925.1615707444998</v>
      </c>
      <c r="F26" s="106"/>
    </row>
    <row r="27" spans="1:6" x14ac:dyDescent="0.25">
      <c r="A27" s="6" t="s">
        <v>402</v>
      </c>
      <c r="B27" s="4" t="s">
        <v>19</v>
      </c>
      <c r="C27" s="104">
        <v>2520</v>
      </c>
      <c r="D27" s="105">
        <f t="shared" si="0"/>
        <v>665713.57194253791</v>
      </c>
      <c r="E27" s="109">
        <f t="shared" si="1"/>
        <v>11095.226199042298</v>
      </c>
      <c r="F27" s="106"/>
    </row>
    <row r="28" spans="1:6" x14ac:dyDescent="0.25">
      <c r="A28" s="6" t="s">
        <v>403</v>
      </c>
      <c r="B28" s="4" t="s">
        <v>20</v>
      </c>
      <c r="C28" s="104">
        <v>3500</v>
      </c>
      <c r="D28" s="105">
        <f t="shared" si="0"/>
        <v>924602.18325352494</v>
      </c>
      <c r="E28" s="109">
        <f t="shared" si="1"/>
        <v>15410.036387558748</v>
      </c>
      <c r="F28" s="106"/>
    </row>
    <row r="29" spans="1:6" x14ac:dyDescent="0.25">
      <c r="A29" s="6" t="s">
        <v>404</v>
      </c>
      <c r="B29" s="4" t="s">
        <v>21</v>
      </c>
      <c r="C29" s="104">
        <v>4500</v>
      </c>
      <c r="D29" s="105">
        <f t="shared" si="0"/>
        <v>1188774.2356116748</v>
      </c>
      <c r="E29" s="109">
        <f t="shared" si="1"/>
        <v>19812.903926861247</v>
      </c>
      <c r="F29" s="106"/>
    </row>
    <row r="30" spans="1:6" x14ac:dyDescent="0.25">
      <c r="A30" s="6" t="s">
        <v>405</v>
      </c>
      <c r="B30" s="4" t="s">
        <v>22</v>
      </c>
      <c r="C30" s="104">
        <v>7200</v>
      </c>
      <c r="D30" s="105">
        <f t="shared" si="0"/>
        <v>1902038.7769786799</v>
      </c>
      <c r="E30" s="109">
        <f t="shared" si="1"/>
        <v>31700.646282977999</v>
      </c>
      <c r="F30" s="106"/>
    </row>
    <row r="31" spans="1:6" x14ac:dyDescent="0.25">
      <c r="A31" s="6" t="s">
        <v>406</v>
      </c>
      <c r="B31" s="4" t="s">
        <v>23</v>
      </c>
      <c r="C31" s="104">
        <v>10000</v>
      </c>
      <c r="D31" s="105">
        <f t="shared" si="0"/>
        <v>2641720.5235814997</v>
      </c>
      <c r="E31" s="109">
        <f t="shared" si="1"/>
        <v>44028.675393024998</v>
      </c>
      <c r="F31" s="106"/>
    </row>
    <row r="32" spans="1:6" x14ac:dyDescent="0.25">
      <c r="A32" s="114" t="s">
        <v>410</v>
      </c>
      <c r="B32" s="4" t="s">
        <v>24</v>
      </c>
      <c r="C32" s="104">
        <v>14000</v>
      </c>
      <c r="D32" s="105">
        <f t="shared" si="0"/>
        <v>3698408.7330140998</v>
      </c>
      <c r="E32" s="109">
        <f t="shared" si="1"/>
        <v>61640.145550234993</v>
      </c>
      <c r="F32" s="106"/>
    </row>
    <row r="33" spans="1:6" x14ac:dyDescent="0.25">
      <c r="A33" s="6" t="s">
        <v>411</v>
      </c>
      <c r="B33" s="4" t="s">
        <v>25</v>
      </c>
      <c r="C33" s="104">
        <v>18000</v>
      </c>
      <c r="D33" s="105">
        <f t="shared" si="0"/>
        <v>4755096.9424466994</v>
      </c>
      <c r="E33" s="109">
        <f t="shared" si="1"/>
        <v>79251.615707444987</v>
      </c>
      <c r="F33" s="106"/>
    </row>
    <row r="34" spans="1:6" x14ac:dyDescent="0.25">
      <c r="A34" s="6" t="s">
        <v>412</v>
      </c>
      <c r="B34" s="4" t="s">
        <v>26</v>
      </c>
      <c r="C34" s="104">
        <v>23000</v>
      </c>
      <c r="D34" s="105">
        <f t="shared" si="0"/>
        <v>6075957.2042374499</v>
      </c>
      <c r="E34" s="109">
        <f t="shared" si="1"/>
        <v>101265.95340395749</v>
      </c>
      <c r="F34" s="106"/>
    </row>
    <row r="35" spans="1:6" x14ac:dyDescent="0.25">
      <c r="A35" s="6" t="s">
        <v>413</v>
      </c>
      <c r="B35" s="4" t="s">
        <v>27</v>
      </c>
      <c r="C35" s="104">
        <v>28000</v>
      </c>
      <c r="D35" s="105">
        <f t="shared" si="0"/>
        <v>7396817.4660281995</v>
      </c>
      <c r="E35" s="109">
        <f t="shared" si="1"/>
        <v>123280.29110046999</v>
      </c>
      <c r="F35" s="106"/>
    </row>
    <row r="36" spans="1:6" x14ac:dyDescent="0.25">
      <c r="A36" s="6" t="s">
        <v>414</v>
      </c>
      <c r="B36" s="4" t="s">
        <v>28</v>
      </c>
      <c r="C36" s="104">
        <v>40000</v>
      </c>
      <c r="D36" s="105">
        <f t="shared" si="0"/>
        <v>10566882.094325999</v>
      </c>
      <c r="E36" s="109">
        <f t="shared" si="1"/>
        <v>176114.70157209999</v>
      </c>
      <c r="F36" s="106"/>
    </row>
    <row r="37" spans="1:6" x14ac:dyDescent="0.25">
      <c r="A37" s="6" t="s">
        <v>139</v>
      </c>
      <c r="B37" s="4" t="s">
        <v>258</v>
      </c>
      <c r="F37" s="106"/>
    </row>
    <row r="38" spans="1:6" x14ac:dyDescent="0.25">
      <c r="A38" s="5" t="s">
        <v>267</v>
      </c>
      <c r="B38" s="1"/>
      <c r="F38" s="106"/>
    </row>
    <row r="39" spans="1:6" x14ac:dyDescent="0.25">
      <c r="A39" s="6" t="s">
        <v>301</v>
      </c>
      <c r="B39" s="4">
        <v>1</v>
      </c>
      <c r="F39" s="106"/>
    </row>
    <row r="40" spans="1:6" x14ac:dyDescent="0.25">
      <c r="A40" s="100" t="s">
        <v>337</v>
      </c>
      <c r="B40" s="4">
        <v>2</v>
      </c>
      <c r="F40" s="106"/>
    </row>
    <row r="41" spans="1:6" x14ac:dyDescent="0.25">
      <c r="A41" s="100" t="s">
        <v>2</v>
      </c>
      <c r="B41" s="4">
        <v>3</v>
      </c>
      <c r="F41" s="106"/>
    </row>
    <row r="42" spans="1:6" x14ac:dyDescent="0.25">
      <c r="A42" s="100" t="s">
        <v>415</v>
      </c>
      <c r="B42" s="4">
        <v>4</v>
      </c>
      <c r="F42" s="106"/>
    </row>
    <row r="43" spans="1:6" x14ac:dyDescent="0.25">
      <c r="A43" s="6" t="s">
        <v>433</v>
      </c>
      <c r="B43" s="4">
        <v>5</v>
      </c>
      <c r="F43" s="106"/>
    </row>
    <row r="44" spans="1:6" x14ac:dyDescent="0.25">
      <c r="A44" s="100" t="s">
        <v>1</v>
      </c>
      <c r="B44" s="4">
        <v>6</v>
      </c>
      <c r="F44" s="106"/>
    </row>
    <row r="45" spans="1:6" x14ac:dyDescent="0.25">
      <c r="A45" s="6" t="s">
        <v>139</v>
      </c>
      <c r="B45" s="4" t="s">
        <v>257</v>
      </c>
      <c r="F45" s="106"/>
    </row>
    <row r="46" spans="1:6" x14ac:dyDescent="0.25">
      <c r="A46" s="5" t="s">
        <v>268</v>
      </c>
      <c r="B46" s="1"/>
      <c r="F46" s="106"/>
    </row>
    <row r="47" spans="1:6" ht="30" x14ac:dyDescent="0.25">
      <c r="A47" s="7" t="s">
        <v>416</v>
      </c>
      <c r="B47" s="4">
        <v>1</v>
      </c>
      <c r="F47" s="106"/>
    </row>
    <row r="48" spans="1:6" ht="45" x14ac:dyDescent="0.25">
      <c r="A48" s="7" t="s">
        <v>143</v>
      </c>
      <c r="B48" s="4" t="s">
        <v>35</v>
      </c>
      <c r="F48" s="106"/>
    </row>
    <row r="49" spans="1:8" x14ac:dyDescent="0.25">
      <c r="A49" s="6" t="s">
        <v>142</v>
      </c>
      <c r="B49" s="4" t="s">
        <v>36</v>
      </c>
      <c r="F49" s="106"/>
    </row>
    <row r="50" spans="1:8" x14ac:dyDescent="0.25">
      <c r="A50" s="6" t="s">
        <v>139</v>
      </c>
      <c r="B50" s="4" t="s">
        <v>257</v>
      </c>
      <c r="F50" s="106"/>
    </row>
    <row r="51" spans="1:8" x14ac:dyDescent="0.25">
      <c r="A51" s="5" t="s">
        <v>151</v>
      </c>
      <c r="B51" s="1"/>
      <c r="F51" s="106"/>
      <c r="H51" s="15"/>
    </row>
    <row r="52" spans="1:8" x14ac:dyDescent="0.25">
      <c r="A52" s="6" t="s">
        <v>152</v>
      </c>
      <c r="B52" s="4" t="s">
        <v>34</v>
      </c>
      <c r="F52" s="106"/>
      <c r="H52" s="15"/>
    </row>
    <row r="53" spans="1:8" x14ac:dyDescent="0.25">
      <c r="A53" s="6" t="s">
        <v>31</v>
      </c>
      <c r="B53" s="4" t="s">
        <v>35</v>
      </c>
      <c r="F53" s="106"/>
      <c r="H53" s="15"/>
    </row>
    <row r="54" spans="1:8" x14ac:dyDescent="0.25">
      <c r="A54" s="6" t="s">
        <v>153</v>
      </c>
      <c r="B54" s="4" t="s">
        <v>36</v>
      </c>
      <c r="F54" s="106"/>
      <c r="H54" s="15"/>
    </row>
    <row r="55" spans="1:8" x14ac:dyDescent="0.25">
      <c r="A55" s="6" t="s">
        <v>154</v>
      </c>
      <c r="B55" s="4" t="s">
        <v>37</v>
      </c>
      <c r="F55" s="106"/>
      <c r="H55" s="15"/>
    </row>
    <row r="56" spans="1:8" x14ac:dyDescent="0.25">
      <c r="A56" s="6" t="s">
        <v>155</v>
      </c>
      <c r="B56" s="4" t="s">
        <v>38</v>
      </c>
      <c r="F56" s="106"/>
      <c r="H56" s="15"/>
    </row>
    <row r="57" spans="1:8" x14ac:dyDescent="0.25">
      <c r="A57" s="6" t="s">
        <v>139</v>
      </c>
      <c r="B57" s="4" t="s">
        <v>338</v>
      </c>
      <c r="F57" s="106"/>
      <c r="H57" s="15"/>
    </row>
    <row r="58" spans="1:8" x14ac:dyDescent="0.25">
      <c r="A58" s="5" t="s">
        <v>269</v>
      </c>
      <c r="B58" s="4"/>
      <c r="F58" s="106"/>
      <c r="H58" s="15"/>
    </row>
    <row r="59" spans="1:8" x14ac:dyDescent="0.25">
      <c r="A59" s="6" t="s">
        <v>150</v>
      </c>
      <c r="B59" s="4" t="s">
        <v>33</v>
      </c>
      <c r="F59" s="106"/>
      <c r="H59" s="1"/>
    </row>
    <row r="60" spans="1:8" x14ac:dyDescent="0.25">
      <c r="A60" s="6" t="s">
        <v>135</v>
      </c>
      <c r="B60" s="4" t="s">
        <v>34</v>
      </c>
      <c r="F60" s="106"/>
    </row>
    <row r="61" spans="1:8" x14ac:dyDescent="0.25">
      <c r="A61" s="5" t="s">
        <v>270</v>
      </c>
      <c r="B61" s="1"/>
      <c r="F61" s="106"/>
    </row>
    <row r="62" spans="1:8" x14ac:dyDescent="0.25">
      <c r="A62" s="6" t="s">
        <v>323</v>
      </c>
      <c r="B62" s="4">
        <v>1</v>
      </c>
      <c r="F62" s="106"/>
    </row>
    <row r="63" spans="1:8" x14ac:dyDescent="0.25">
      <c r="A63" s="6" t="s">
        <v>324</v>
      </c>
      <c r="B63" s="4">
        <v>2</v>
      </c>
      <c r="F63" s="106"/>
    </row>
    <row r="64" spans="1:8" x14ac:dyDescent="0.25">
      <c r="A64" s="6" t="s">
        <v>325</v>
      </c>
      <c r="B64" s="4">
        <v>3</v>
      </c>
      <c r="F64" s="106"/>
    </row>
    <row r="65" spans="1:6" x14ac:dyDescent="0.25">
      <c r="A65" s="6" t="s">
        <v>328</v>
      </c>
      <c r="B65" s="4">
        <v>4</v>
      </c>
      <c r="F65" s="106"/>
    </row>
    <row r="66" spans="1:6" x14ac:dyDescent="0.25">
      <c r="A66" s="6" t="s">
        <v>326</v>
      </c>
      <c r="B66" s="4">
        <v>5</v>
      </c>
      <c r="F66" s="106"/>
    </row>
    <row r="67" spans="1:6" x14ac:dyDescent="0.25">
      <c r="A67" s="6" t="s">
        <v>327</v>
      </c>
      <c r="B67" s="4">
        <v>6</v>
      </c>
      <c r="F67" s="106"/>
    </row>
    <row r="68" spans="1:6" x14ac:dyDescent="0.25">
      <c r="A68" s="6" t="s">
        <v>139</v>
      </c>
      <c r="B68" s="4" t="s">
        <v>257</v>
      </c>
      <c r="F68" s="106"/>
    </row>
    <row r="69" spans="1:6" x14ac:dyDescent="0.25">
      <c r="A69" s="5" t="s">
        <v>271</v>
      </c>
      <c r="B69" s="4"/>
      <c r="F69" s="106"/>
    </row>
    <row r="70" spans="1:6" x14ac:dyDescent="0.25">
      <c r="A70" s="6" t="s">
        <v>435</v>
      </c>
      <c r="B70" s="4">
        <v>1</v>
      </c>
      <c r="F70" s="106"/>
    </row>
    <row r="71" spans="1:6" x14ac:dyDescent="0.25">
      <c r="A71" s="6" t="s">
        <v>417</v>
      </c>
      <c r="B71" s="4" t="s">
        <v>35</v>
      </c>
      <c r="F71" s="106"/>
    </row>
    <row r="72" spans="1:6" x14ac:dyDescent="0.25">
      <c r="A72" s="6" t="s">
        <v>436</v>
      </c>
      <c r="B72" s="4" t="s">
        <v>36</v>
      </c>
      <c r="F72" s="106"/>
    </row>
    <row r="73" spans="1:6" x14ac:dyDescent="0.25">
      <c r="A73" s="5" t="s">
        <v>272</v>
      </c>
      <c r="B73" s="4"/>
      <c r="F73" s="106"/>
    </row>
    <row r="74" spans="1:6" x14ac:dyDescent="0.25">
      <c r="A74" s="6" t="s">
        <v>58</v>
      </c>
      <c r="B74" s="4">
        <v>1</v>
      </c>
      <c r="F74" s="106"/>
    </row>
    <row r="75" spans="1:6" x14ac:dyDescent="0.25">
      <c r="A75" s="6" t="s">
        <v>59</v>
      </c>
      <c r="B75" s="4">
        <v>2</v>
      </c>
      <c r="F75" s="106"/>
    </row>
    <row r="76" spans="1:6" x14ac:dyDescent="0.25">
      <c r="A76" s="6" t="s">
        <v>57</v>
      </c>
      <c r="B76" s="4">
        <v>3</v>
      </c>
      <c r="F76" s="106"/>
    </row>
    <row r="77" spans="1:6" x14ac:dyDescent="0.25">
      <c r="A77" s="6" t="s">
        <v>82</v>
      </c>
      <c r="B77" s="4">
        <v>4</v>
      </c>
      <c r="F77" s="106"/>
    </row>
    <row r="78" spans="1:6" x14ac:dyDescent="0.25">
      <c r="A78" s="6" t="s">
        <v>60</v>
      </c>
      <c r="B78" s="4">
        <v>5</v>
      </c>
      <c r="F78" s="106"/>
    </row>
    <row r="79" spans="1:6" x14ac:dyDescent="0.25">
      <c r="A79" s="6" t="s">
        <v>139</v>
      </c>
      <c r="B79" s="4" t="s">
        <v>257</v>
      </c>
      <c r="F79" s="106"/>
    </row>
    <row r="80" spans="1:6" x14ac:dyDescent="0.25">
      <c r="A80" s="5" t="s">
        <v>275</v>
      </c>
      <c r="B80" s="1"/>
      <c r="F80" s="106"/>
    </row>
    <row r="81" spans="1:6" x14ac:dyDescent="0.25">
      <c r="A81" s="8" t="s">
        <v>329</v>
      </c>
      <c r="B81" s="4">
        <v>1</v>
      </c>
      <c r="F81" s="106"/>
    </row>
    <row r="82" spans="1:6" x14ac:dyDescent="0.25">
      <c r="A82" s="8" t="s">
        <v>330</v>
      </c>
      <c r="B82" s="4">
        <v>2</v>
      </c>
      <c r="F82" s="106"/>
    </row>
    <row r="83" spans="1:6" x14ac:dyDescent="0.25">
      <c r="A83" s="8" t="s">
        <v>331</v>
      </c>
      <c r="B83" s="4">
        <v>3</v>
      </c>
      <c r="F83" s="106"/>
    </row>
    <row r="84" spans="1:6" x14ac:dyDescent="0.25">
      <c r="A84" s="8" t="s">
        <v>332</v>
      </c>
      <c r="B84" s="4">
        <v>4</v>
      </c>
      <c r="F84" s="106"/>
    </row>
    <row r="85" spans="1:6" x14ac:dyDescent="0.25">
      <c r="A85" s="8" t="s">
        <v>333</v>
      </c>
      <c r="B85" s="4">
        <v>5</v>
      </c>
      <c r="F85" s="106"/>
    </row>
    <row r="86" spans="1:6" x14ac:dyDescent="0.25">
      <c r="A86" s="8" t="s">
        <v>334</v>
      </c>
      <c r="B86" s="4">
        <v>6</v>
      </c>
      <c r="F86" s="106"/>
    </row>
    <row r="87" spans="1:6" x14ac:dyDescent="0.25">
      <c r="A87" s="8" t="s">
        <v>335</v>
      </c>
      <c r="B87" s="4">
        <v>7</v>
      </c>
      <c r="F87" s="106"/>
    </row>
    <row r="88" spans="1:6" x14ac:dyDescent="0.25">
      <c r="A88" s="8" t="s">
        <v>336</v>
      </c>
      <c r="B88" s="4">
        <v>8</v>
      </c>
      <c r="F88" s="106"/>
    </row>
    <row r="89" spans="1:6" x14ac:dyDescent="0.25">
      <c r="A89" s="6" t="s">
        <v>139</v>
      </c>
      <c r="B89" s="4" t="s">
        <v>257</v>
      </c>
      <c r="F89" s="106"/>
    </row>
    <row r="90" spans="1:6" x14ac:dyDescent="0.25">
      <c r="A90" s="5" t="s">
        <v>276</v>
      </c>
      <c r="B90" s="4"/>
      <c r="F90" s="106"/>
    </row>
    <row r="91" spans="1:6" x14ac:dyDescent="0.25">
      <c r="A91" s="6" t="s">
        <v>156</v>
      </c>
      <c r="B91" s="4" t="s">
        <v>34</v>
      </c>
      <c r="F91" s="106"/>
    </row>
    <row r="92" spans="1:6" x14ac:dyDescent="0.25">
      <c r="A92" s="6" t="s">
        <v>139</v>
      </c>
      <c r="B92" s="4" t="s">
        <v>257</v>
      </c>
      <c r="F92" s="106"/>
    </row>
    <row r="93" spans="1:6" x14ac:dyDescent="0.25">
      <c r="A93" s="5" t="s">
        <v>273</v>
      </c>
      <c r="B93" s="1"/>
      <c r="F93" s="106"/>
    </row>
    <row r="94" spans="1:6" x14ac:dyDescent="0.25">
      <c r="A94" s="8" t="s">
        <v>320</v>
      </c>
      <c r="B94" s="4">
        <v>1</v>
      </c>
      <c r="F94" s="106"/>
    </row>
    <row r="95" spans="1:6" x14ac:dyDescent="0.25">
      <c r="A95" s="8" t="s">
        <v>321</v>
      </c>
      <c r="B95" s="4">
        <v>2</v>
      </c>
      <c r="F95" s="106"/>
    </row>
    <row r="96" spans="1:6" x14ac:dyDescent="0.25">
      <c r="A96" s="8" t="s">
        <v>322</v>
      </c>
      <c r="B96" s="4">
        <v>3</v>
      </c>
      <c r="F96" s="106"/>
    </row>
    <row r="97" spans="1:6" x14ac:dyDescent="0.25">
      <c r="A97" s="8" t="s">
        <v>79</v>
      </c>
      <c r="B97" s="4">
        <v>4</v>
      </c>
      <c r="F97" s="106"/>
    </row>
    <row r="98" spans="1:6" x14ac:dyDescent="0.25">
      <c r="A98" s="8" t="s">
        <v>139</v>
      </c>
      <c r="B98" s="4" t="s">
        <v>257</v>
      </c>
      <c r="F98" s="106"/>
    </row>
    <row r="99" spans="1:6" x14ac:dyDescent="0.25">
      <c r="A99" s="5" t="s">
        <v>347</v>
      </c>
      <c r="B99" s="4"/>
      <c r="F99" s="106"/>
    </row>
    <row r="100" spans="1:6" x14ac:dyDescent="0.25">
      <c r="A100" s="6" t="s">
        <v>418</v>
      </c>
      <c r="B100" s="4" t="s">
        <v>34</v>
      </c>
      <c r="F100" s="106"/>
    </row>
    <row r="101" spans="1:6" x14ac:dyDescent="0.25">
      <c r="A101" s="6" t="s">
        <v>346</v>
      </c>
      <c r="B101" s="4" t="s">
        <v>35</v>
      </c>
      <c r="F101" s="106"/>
    </row>
    <row r="102" spans="1:6" x14ac:dyDescent="0.25">
      <c r="A102" s="5" t="s">
        <v>348</v>
      </c>
      <c r="B102" s="1"/>
      <c r="F102" s="106"/>
    </row>
    <row r="103" spans="1:6" x14ac:dyDescent="0.25">
      <c r="A103" s="8" t="s">
        <v>134</v>
      </c>
      <c r="B103" s="4" t="s">
        <v>33</v>
      </c>
      <c r="F103" s="106"/>
    </row>
    <row r="104" spans="1:6" x14ac:dyDescent="0.25">
      <c r="A104" s="8" t="s">
        <v>135</v>
      </c>
      <c r="B104" s="4" t="s">
        <v>34</v>
      </c>
      <c r="F104" s="106"/>
    </row>
    <row r="105" spans="1:6" x14ac:dyDescent="0.25">
      <c r="A105" s="5" t="s">
        <v>349</v>
      </c>
      <c r="B105" s="1"/>
      <c r="F105" s="106"/>
    </row>
    <row r="106" spans="1:6" x14ac:dyDescent="0.25">
      <c r="A106" s="8" t="s">
        <v>170</v>
      </c>
      <c r="B106" s="4" t="s">
        <v>33</v>
      </c>
      <c r="F106" s="106"/>
    </row>
    <row r="107" spans="1:6" x14ac:dyDescent="0.25">
      <c r="A107" s="8" t="s">
        <v>165</v>
      </c>
      <c r="B107" s="4">
        <v>1</v>
      </c>
      <c r="F107" s="106"/>
    </row>
    <row r="108" spans="1:6" x14ac:dyDescent="0.25">
      <c r="A108" s="8" t="s">
        <v>166</v>
      </c>
      <c r="B108" s="4">
        <v>2</v>
      </c>
      <c r="F108" s="106"/>
    </row>
    <row r="109" spans="1:6" x14ac:dyDescent="0.25">
      <c r="A109" s="8" t="s">
        <v>167</v>
      </c>
      <c r="B109" s="4">
        <v>3</v>
      </c>
      <c r="F109" s="106"/>
    </row>
    <row r="110" spans="1:6" x14ac:dyDescent="0.25">
      <c r="A110" s="8" t="s">
        <v>168</v>
      </c>
      <c r="B110" s="4">
        <v>4</v>
      </c>
      <c r="F110" s="106"/>
    </row>
    <row r="111" spans="1:6" x14ac:dyDescent="0.25">
      <c r="A111" s="8" t="s">
        <v>139</v>
      </c>
      <c r="B111" s="4" t="s">
        <v>257</v>
      </c>
      <c r="F111" s="106"/>
    </row>
    <row r="112" spans="1:6" x14ac:dyDescent="0.25">
      <c r="A112" s="5" t="s">
        <v>350</v>
      </c>
      <c r="B112" s="4"/>
      <c r="F112" s="106"/>
    </row>
    <row r="113" spans="1:6" x14ac:dyDescent="0.25">
      <c r="A113" s="73" t="s">
        <v>170</v>
      </c>
      <c r="B113" s="4" t="s">
        <v>33</v>
      </c>
      <c r="F113" s="106"/>
    </row>
    <row r="114" spans="1:6" x14ac:dyDescent="0.25">
      <c r="A114" s="8" t="s">
        <v>61</v>
      </c>
      <c r="B114" s="4">
        <v>1</v>
      </c>
      <c r="F114" s="106"/>
    </row>
    <row r="115" spans="1:6" x14ac:dyDescent="0.25">
      <c r="A115" s="8" t="s">
        <v>62</v>
      </c>
      <c r="B115" s="4">
        <v>2</v>
      </c>
      <c r="F115" s="106"/>
    </row>
    <row r="116" spans="1:6" x14ac:dyDescent="0.25">
      <c r="A116" s="8" t="s">
        <v>63</v>
      </c>
      <c r="B116" s="4">
        <v>3</v>
      </c>
      <c r="F116" s="106"/>
    </row>
    <row r="117" spans="1:6" x14ac:dyDescent="0.25">
      <c r="A117" s="8" t="s">
        <v>64</v>
      </c>
      <c r="B117" s="4">
        <v>4</v>
      </c>
      <c r="F117" s="106"/>
    </row>
    <row r="118" spans="1:6" x14ac:dyDescent="0.25">
      <c r="A118" s="5" t="s">
        <v>351</v>
      </c>
      <c r="B118" s="1"/>
      <c r="F118" s="106"/>
    </row>
    <row r="119" spans="1:6" x14ac:dyDescent="0.25">
      <c r="A119" s="14" t="s">
        <v>65</v>
      </c>
      <c r="B119" s="1"/>
      <c r="F119" s="106"/>
    </row>
    <row r="120" spans="1:6" x14ac:dyDescent="0.25">
      <c r="A120" s="5" t="s">
        <v>352</v>
      </c>
      <c r="B120" s="4"/>
      <c r="F120" s="106"/>
    </row>
    <row r="121" spans="1:6" x14ac:dyDescent="0.25">
      <c r="A121" s="6" t="s">
        <v>171</v>
      </c>
      <c r="B121" s="4" t="s">
        <v>33</v>
      </c>
      <c r="F121" s="106"/>
    </row>
    <row r="122" spans="1:6" x14ac:dyDescent="0.25">
      <c r="A122" s="6" t="s">
        <v>152</v>
      </c>
      <c r="B122" s="4" t="s">
        <v>34</v>
      </c>
      <c r="F122" s="106"/>
    </row>
    <row r="123" spans="1:6" x14ac:dyDescent="0.25">
      <c r="A123" s="5" t="s">
        <v>353</v>
      </c>
      <c r="B123" s="1"/>
      <c r="F123" s="106"/>
    </row>
    <row r="124" spans="1:6" x14ac:dyDescent="0.25">
      <c r="A124" s="73" t="s">
        <v>172</v>
      </c>
      <c r="B124" s="4" t="s">
        <v>33</v>
      </c>
      <c r="F124" s="106"/>
    </row>
    <row r="125" spans="1:6" x14ac:dyDescent="0.25">
      <c r="A125" s="8" t="s">
        <v>419</v>
      </c>
      <c r="B125" s="101">
        <v>1</v>
      </c>
      <c r="F125" s="106"/>
    </row>
    <row r="126" spans="1:6" x14ac:dyDescent="0.25">
      <c r="A126" s="8" t="s">
        <v>302</v>
      </c>
      <c r="B126" s="101">
        <v>2</v>
      </c>
      <c r="F126" s="106"/>
    </row>
    <row r="127" spans="1:6" x14ac:dyDescent="0.25">
      <c r="A127" s="8" t="s">
        <v>303</v>
      </c>
      <c r="B127" s="101">
        <v>3</v>
      </c>
      <c r="F127" s="106"/>
    </row>
    <row r="128" spans="1:6" x14ac:dyDescent="0.25">
      <c r="A128" s="8" t="s">
        <v>304</v>
      </c>
      <c r="B128" s="101">
        <v>4</v>
      </c>
      <c r="F128" s="106"/>
    </row>
    <row r="129" spans="1:6" x14ac:dyDescent="0.25">
      <c r="A129" s="8" t="s">
        <v>305</v>
      </c>
      <c r="B129" s="101">
        <v>5</v>
      </c>
      <c r="F129" s="106"/>
    </row>
    <row r="130" spans="1:6" x14ac:dyDescent="0.25">
      <c r="A130" s="8" t="s">
        <v>306</v>
      </c>
      <c r="B130" s="101">
        <v>6</v>
      </c>
      <c r="F130" s="106"/>
    </row>
    <row r="131" spans="1:6" x14ac:dyDescent="0.25">
      <c r="A131" s="8" t="s">
        <v>307</v>
      </c>
      <c r="B131" s="101">
        <v>7</v>
      </c>
      <c r="F131" s="106"/>
    </row>
    <row r="132" spans="1:6" x14ac:dyDescent="0.25">
      <c r="A132" s="8" t="s">
        <v>139</v>
      </c>
      <c r="B132" s="4" t="s">
        <v>257</v>
      </c>
      <c r="F132" s="106"/>
    </row>
    <row r="133" spans="1:6" x14ac:dyDescent="0.25">
      <c r="A133" s="5" t="s">
        <v>355</v>
      </c>
      <c r="B133" s="1"/>
      <c r="F133" s="106"/>
    </row>
    <row r="134" spans="1:6" x14ac:dyDescent="0.25">
      <c r="A134" s="8" t="s">
        <v>175</v>
      </c>
      <c r="B134" s="4">
        <v>1</v>
      </c>
      <c r="F134" s="106"/>
    </row>
    <row r="135" spans="1:6" x14ac:dyDescent="0.25">
      <c r="A135" s="8" t="s">
        <v>420</v>
      </c>
      <c r="B135" s="4">
        <v>2</v>
      </c>
      <c r="F135" s="106"/>
    </row>
    <row r="136" spans="1:6" x14ac:dyDescent="0.25">
      <c r="A136" s="5" t="s">
        <v>356</v>
      </c>
      <c r="B136" s="1"/>
      <c r="F136" s="106"/>
    </row>
    <row r="137" spans="1:6" x14ac:dyDescent="0.25">
      <c r="A137" s="8" t="s">
        <v>176</v>
      </c>
      <c r="B137" s="4" t="s">
        <v>34</v>
      </c>
      <c r="F137" s="106"/>
    </row>
    <row r="138" spans="1:6" x14ac:dyDescent="0.25">
      <c r="A138" s="8" t="s">
        <v>139</v>
      </c>
      <c r="B138" s="4" t="s">
        <v>257</v>
      </c>
      <c r="F138" s="106"/>
    </row>
    <row r="139" spans="1:6" x14ac:dyDescent="0.25">
      <c r="A139" s="5" t="s">
        <v>357</v>
      </c>
      <c r="B139" s="1"/>
      <c r="F139" s="106"/>
    </row>
    <row r="140" spans="1:6" x14ac:dyDescent="0.25">
      <c r="A140" s="8" t="s">
        <v>134</v>
      </c>
      <c r="B140" s="101">
        <v>0</v>
      </c>
      <c r="F140" s="106"/>
    </row>
    <row r="141" spans="1:6" x14ac:dyDescent="0.25">
      <c r="A141" s="8" t="s">
        <v>135</v>
      </c>
      <c r="B141" s="101">
        <v>1</v>
      </c>
      <c r="F141" s="106"/>
    </row>
    <row r="142" spans="1:6" x14ac:dyDescent="0.25">
      <c r="A142" s="5" t="s">
        <v>358</v>
      </c>
      <c r="B142" s="101"/>
      <c r="F142" s="106"/>
    </row>
    <row r="143" spans="1:6" x14ac:dyDescent="0.25">
      <c r="A143" s="73" t="s">
        <v>342</v>
      </c>
      <c r="B143" s="101">
        <v>0</v>
      </c>
      <c r="F143" s="106"/>
    </row>
    <row r="144" spans="1:6" x14ac:dyDescent="0.25">
      <c r="A144" s="8" t="s">
        <v>87</v>
      </c>
      <c r="B144" s="101">
        <v>1</v>
      </c>
      <c r="F144" s="106"/>
    </row>
    <row r="145" spans="1:6" x14ac:dyDescent="0.25">
      <c r="A145" s="8" t="s">
        <v>84</v>
      </c>
      <c r="B145" s="101">
        <v>2</v>
      </c>
      <c r="F145" s="106"/>
    </row>
    <row r="146" spans="1:6" x14ac:dyDescent="0.25">
      <c r="A146" s="8" t="s">
        <v>83</v>
      </c>
      <c r="B146" s="101">
        <v>3</v>
      </c>
      <c r="F146" s="106"/>
    </row>
    <row r="147" spans="1:6" x14ac:dyDescent="0.25">
      <c r="A147" s="8" t="s">
        <v>88</v>
      </c>
      <c r="B147" s="101">
        <v>4</v>
      </c>
      <c r="F147" s="106"/>
    </row>
    <row r="148" spans="1:6" x14ac:dyDescent="0.25">
      <c r="A148" s="8" t="s">
        <v>177</v>
      </c>
      <c r="B148" s="4" t="s">
        <v>257</v>
      </c>
      <c r="F148" s="106"/>
    </row>
    <row r="149" spans="1:6" x14ac:dyDescent="0.25">
      <c r="A149" s="5" t="s">
        <v>359</v>
      </c>
      <c r="B149" s="1"/>
      <c r="F149" s="106"/>
    </row>
    <row r="150" spans="1:6" x14ac:dyDescent="0.25">
      <c r="A150" s="8" t="s">
        <v>339</v>
      </c>
      <c r="B150" s="4" t="s">
        <v>34</v>
      </c>
      <c r="F150" s="106"/>
    </row>
    <row r="151" spans="1:6" x14ac:dyDescent="0.25">
      <c r="A151" s="8" t="s">
        <v>139</v>
      </c>
      <c r="B151" s="4" t="s">
        <v>257</v>
      </c>
      <c r="F151" s="106"/>
    </row>
    <row r="152" spans="1:6" x14ac:dyDescent="0.25">
      <c r="A152" s="5" t="s">
        <v>360</v>
      </c>
      <c r="B152" s="4"/>
      <c r="F152" s="106"/>
    </row>
    <row r="153" spans="1:6" x14ac:dyDescent="0.25">
      <c r="A153" s="73" t="s">
        <v>343</v>
      </c>
      <c r="B153" s="101">
        <v>0</v>
      </c>
      <c r="F153" s="106"/>
    </row>
    <row r="154" spans="1:6" x14ac:dyDescent="0.25">
      <c r="A154" s="8" t="s">
        <v>40</v>
      </c>
      <c r="B154" s="4">
        <v>1</v>
      </c>
      <c r="F154" s="106"/>
    </row>
    <row r="155" spans="1:6" x14ac:dyDescent="0.25">
      <c r="A155" s="8" t="s">
        <v>41</v>
      </c>
      <c r="B155" s="4">
        <v>2</v>
      </c>
      <c r="F155" s="106"/>
    </row>
    <row r="156" spans="1:6" x14ac:dyDescent="0.25">
      <c r="A156" s="8" t="s">
        <v>179</v>
      </c>
      <c r="B156" s="4">
        <v>3</v>
      </c>
      <c r="F156" s="106"/>
    </row>
    <row r="157" spans="1:6" x14ac:dyDescent="0.25">
      <c r="A157" s="8" t="s">
        <v>90</v>
      </c>
      <c r="B157" s="4">
        <v>4</v>
      </c>
      <c r="F157" s="106"/>
    </row>
    <row r="158" spans="1:6" x14ac:dyDescent="0.25">
      <c r="A158" s="8" t="s">
        <v>91</v>
      </c>
      <c r="B158" s="4">
        <v>5</v>
      </c>
      <c r="F158" s="106"/>
    </row>
    <row r="159" spans="1:6" x14ac:dyDescent="0.25">
      <c r="A159" s="8" t="s">
        <v>432</v>
      </c>
      <c r="B159" s="4">
        <v>6</v>
      </c>
      <c r="F159" s="106"/>
    </row>
    <row r="160" spans="1:6" x14ac:dyDescent="0.25">
      <c r="A160" s="8" t="s">
        <v>85</v>
      </c>
      <c r="B160" s="4">
        <v>7</v>
      </c>
      <c r="F160" s="106"/>
    </row>
    <row r="161" spans="1:6" x14ac:dyDescent="0.25">
      <c r="A161" s="8" t="s">
        <v>86</v>
      </c>
      <c r="B161" s="4">
        <v>8</v>
      </c>
      <c r="F161" s="106"/>
    </row>
    <row r="162" spans="1:6" x14ac:dyDescent="0.25">
      <c r="A162" s="8" t="s">
        <v>178</v>
      </c>
      <c r="B162" s="4">
        <v>9</v>
      </c>
      <c r="F162" s="106"/>
    </row>
    <row r="163" spans="1:6" x14ac:dyDescent="0.25">
      <c r="A163" s="8" t="s">
        <v>139</v>
      </c>
      <c r="B163" s="4" t="s">
        <v>257</v>
      </c>
      <c r="F163" s="106"/>
    </row>
    <row r="164" spans="1:6" x14ac:dyDescent="0.25">
      <c r="A164" s="5" t="s">
        <v>361</v>
      </c>
      <c r="B164" s="4"/>
      <c r="F164" s="106"/>
    </row>
    <row r="165" spans="1:6" x14ac:dyDescent="0.25">
      <c r="A165" s="8" t="s">
        <v>180</v>
      </c>
      <c r="B165" s="4" t="s">
        <v>33</v>
      </c>
      <c r="F165" s="106"/>
    </row>
    <row r="166" spans="1:6" x14ac:dyDescent="0.25">
      <c r="A166" s="8">
        <v>1</v>
      </c>
      <c r="B166" s="4" t="s">
        <v>34</v>
      </c>
      <c r="F166" s="106"/>
    </row>
    <row r="167" spans="1:6" x14ac:dyDescent="0.25">
      <c r="A167" s="8" t="s">
        <v>38</v>
      </c>
      <c r="B167" s="4" t="s">
        <v>35</v>
      </c>
      <c r="F167" s="106"/>
    </row>
    <row r="168" spans="1:6" x14ac:dyDescent="0.25">
      <c r="A168" s="8">
        <v>10</v>
      </c>
      <c r="B168" s="4" t="s">
        <v>36</v>
      </c>
      <c r="F168" s="106"/>
    </row>
    <row r="169" spans="1:6" x14ac:dyDescent="0.25">
      <c r="A169" s="8" t="s">
        <v>80</v>
      </c>
      <c r="B169" s="4" t="s">
        <v>37</v>
      </c>
      <c r="F169" s="106"/>
    </row>
    <row r="170" spans="1:6" x14ac:dyDescent="0.25">
      <c r="A170" s="8">
        <v>100</v>
      </c>
      <c r="B170" s="4" t="s">
        <v>38</v>
      </c>
      <c r="F170" s="106"/>
    </row>
    <row r="171" spans="1:6" x14ac:dyDescent="0.25">
      <c r="A171" s="8" t="s">
        <v>81</v>
      </c>
      <c r="B171" s="4" t="s">
        <v>39</v>
      </c>
      <c r="F171" s="106"/>
    </row>
    <row r="172" spans="1:6" x14ac:dyDescent="0.25">
      <c r="A172" s="8">
        <v>1000</v>
      </c>
      <c r="B172" s="4" t="s">
        <v>72</v>
      </c>
      <c r="F172" s="106"/>
    </row>
    <row r="173" spans="1:6" x14ac:dyDescent="0.25">
      <c r="A173" s="8" t="s">
        <v>139</v>
      </c>
      <c r="B173" s="4" t="s">
        <v>257</v>
      </c>
      <c r="F173" s="106"/>
    </row>
    <row r="174" spans="1:6" x14ac:dyDescent="0.25">
      <c r="A174" s="5" t="s">
        <v>362</v>
      </c>
      <c r="B174" s="4"/>
      <c r="F174" s="106"/>
    </row>
    <row r="175" spans="1:6" x14ac:dyDescent="0.25">
      <c r="A175" s="73" t="s">
        <v>345</v>
      </c>
      <c r="B175" s="4" t="s">
        <v>33</v>
      </c>
      <c r="F175" s="106"/>
    </row>
    <row r="176" spans="1:6" x14ac:dyDescent="0.25">
      <c r="A176" s="8" t="s">
        <v>421</v>
      </c>
      <c r="B176" s="4">
        <v>1</v>
      </c>
      <c r="F176" s="106"/>
    </row>
    <row r="177" spans="1:6" x14ac:dyDescent="0.25">
      <c r="A177" s="8" t="s">
        <v>181</v>
      </c>
      <c r="B177" s="4" t="s">
        <v>35</v>
      </c>
      <c r="F177" s="106"/>
    </row>
    <row r="178" spans="1:6" x14ac:dyDescent="0.25">
      <c r="A178" s="8" t="s">
        <v>182</v>
      </c>
      <c r="B178" s="4" t="s">
        <v>36</v>
      </c>
      <c r="F178" s="106"/>
    </row>
    <row r="179" spans="1:6" x14ac:dyDescent="0.25">
      <c r="A179" s="8" t="s">
        <v>139</v>
      </c>
      <c r="B179" s="4" t="s">
        <v>257</v>
      </c>
      <c r="F179" s="106"/>
    </row>
    <row r="180" spans="1:6" x14ac:dyDescent="0.25">
      <c r="A180" s="5" t="s">
        <v>363</v>
      </c>
      <c r="B180" s="4"/>
      <c r="F180" s="106"/>
    </row>
    <row r="181" spans="1:6" x14ac:dyDescent="0.25">
      <c r="A181" s="73" t="s">
        <v>344</v>
      </c>
      <c r="B181" s="101">
        <v>0</v>
      </c>
      <c r="F181" s="106"/>
    </row>
    <row r="182" spans="1:6" x14ac:dyDescent="0.25">
      <c r="A182" s="8" t="s">
        <v>422</v>
      </c>
      <c r="B182" s="4">
        <v>1</v>
      </c>
      <c r="F182" s="106"/>
    </row>
    <row r="183" spans="1:6" x14ac:dyDescent="0.25">
      <c r="A183" s="8" t="s">
        <v>183</v>
      </c>
      <c r="B183" s="4">
        <v>2</v>
      </c>
      <c r="F183" s="106"/>
    </row>
    <row r="184" spans="1:6" x14ac:dyDescent="0.25">
      <c r="A184" s="8" t="s">
        <v>184</v>
      </c>
      <c r="B184" s="4">
        <v>3</v>
      </c>
      <c r="F184" s="106"/>
    </row>
    <row r="185" spans="1:6" x14ac:dyDescent="0.25">
      <c r="A185" s="8" t="s">
        <v>185</v>
      </c>
      <c r="B185" s="4">
        <v>4</v>
      </c>
      <c r="F185" s="106"/>
    </row>
    <row r="186" spans="1:6" x14ac:dyDescent="0.25">
      <c r="A186" s="8" t="s">
        <v>186</v>
      </c>
      <c r="B186" s="4">
        <v>5</v>
      </c>
      <c r="F186" s="106"/>
    </row>
    <row r="187" spans="1:6" x14ac:dyDescent="0.25">
      <c r="A187" s="8" t="s">
        <v>187</v>
      </c>
      <c r="B187" s="4">
        <v>6</v>
      </c>
      <c r="F187" s="106"/>
    </row>
    <row r="188" spans="1:6" x14ac:dyDescent="0.25">
      <c r="A188" s="8" t="s">
        <v>188</v>
      </c>
      <c r="B188" s="4">
        <v>7</v>
      </c>
      <c r="F188" s="106"/>
    </row>
    <row r="189" spans="1:6" x14ac:dyDescent="0.25">
      <c r="A189" s="8" t="s">
        <v>189</v>
      </c>
      <c r="B189" s="4">
        <v>8</v>
      </c>
      <c r="F189" s="106"/>
    </row>
    <row r="190" spans="1:6" x14ac:dyDescent="0.25">
      <c r="A190" s="5" t="s">
        <v>364</v>
      </c>
      <c r="B190" s="4"/>
      <c r="F190" s="106"/>
    </row>
    <row r="191" spans="1:6" x14ac:dyDescent="0.25">
      <c r="A191" s="8" t="s">
        <v>190</v>
      </c>
      <c r="B191" s="4" t="s">
        <v>33</v>
      </c>
      <c r="F191" s="106"/>
    </row>
    <row r="192" spans="1:6" x14ac:dyDescent="0.25">
      <c r="A192" s="8" t="s">
        <v>423</v>
      </c>
      <c r="B192" s="4" t="s">
        <v>34</v>
      </c>
      <c r="F192" s="106"/>
    </row>
    <row r="193" spans="1:6" ht="18" x14ac:dyDescent="0.25">
      <c r="A193" s="5" t="s">
        <v>365</v>
      </c>
      <c r="B193" s="4"/>
      <c r="F193" s="106"/>
    </row>
    <row r="194" spans="1:6" x14ac:dyDescent="0.25">
      <c r="A194" s="8" t="s">
        <v>180</v>
      </c>
      <c r="B194" s="4" t="s">
        <v>33</v>
      </c>
      <c r="F194" s="106"/>
    </row>
    <row r="195" spans="1:6" ht="18" x14ac:dyDescent="0.25">
      <c r="A195" s="8" t="s">
        <v>309</v>
      </c>
      <c r="B195" s="4" t="s">
        <v>34</v>
      </c>
      <c r="F195" s="106"/>
    </row>
    <row r="196" spans="1:6" ht="18.75" x14ac:dyDescent="0.25">
      <c r="A196" s="8" t="s">
        <v>310</v>
      </c>
      <c r="B196" s="4" t="s">
        <v>35</v>
      </c>
      <c r="F196" s="106"/>
    </row>
    <row r="197" spans="1:6" ht="18" x14ac:dyDescent="0.25">
      <c r="A197" s="8" t="s">
        <v>311</v>
      </c>
      <c r="B197" s="4" t="s">
        <v>36</v>
      </c>
      <c r="F197" s="106"/>
    </row>
    <row r="198" spans="1:6" ht="18.75" x14ac:dyDescent="0.25">
      <c r="A198" s="12" t="s">
        <v>312</v>
      </c>
      <c r="B198" s="4" t="s">
        <v>37</v>
      </c>
      <c r="F198" s="106"/>
    </row>
    <row r="199" spans="1:6" ht="18" x14ac:dyDescent="0.25">
      <c r="A199" s="8" t="s">
        <v>313</v>
      </c>
      <c r="B199" s="4" t="s">
        <v>38</v>
      </c>
      <c r="F199" s="106"/>
    </row>
    <row r="200" spans="1:6" ht="18.75" x14ac:dyDescent="0.25">
      <c r="A200" s="8" t="s">
        <v>314</v>
      </c>
      <c r="B200" s="4" t="s">
        <v>39</v>
      </c>
      <c r="F200" s="106"/>
    </row>
    <row r="201" spans="1:6" ht="18" x14ac:dyDescent="0.25">
      <c r="A201" s="8" t="s">
        <v>308</v>
      </c>
      <c r="B201" s="4" t="s">
        <v>72</v>
      </c>
      <c r="F201" s="106"/>
    </row>
    <row r="202" spans="1:6" x14ac:dyDescent="0.25">
      <c r="A202" s="12" t="s">
        <v>424</v>
      </c>
      <c r="B202" s="4" t="s">
        <v>73</v>
      </c>
      <c r="F202" s="106"/>
    </row>
    <row r="203" spans="1:6" x14ac:dyDescent="0.25">
      <c r="A203" s="8" t="s">
        <v>139</v>
      </c>
      <c r="B203" s="4" t="s">
        <v>257</v>
      </c>
      <c r="F203" s="106"/>
    </row>
    <row r="204" spans="1:6" x14ac:dyDescent="0.25">
      <c r="A204" s="5" t="s">
        <v>366</v>
      </c>
      <c r="B204" s="4"/>
      <c r="F204" s="106"/>
    </row>
    <row r="205" spans="1:6" x14ac:dyDescent="0.25">
      <c r="A205" s="12" t="s">
        <v>180</v>
      </c>
      <c r="B205" s="4" t="s">
        <v>74</v>
      </c>
      <c r="F205" s="106"/>
    </row>
    <row r="206" spans="1:6" x14ac:dyDescent="0.25">
      <c r="A206" s="13" t="s">
        <v>191</v>
      </c>
      <c r="B206" s="4" t="s">
        <v>3</v>
      </c>
      <c r="F206" s="106"/>
    </row>
    <row r="207" spans="1:6" x14ac:dyDescent="0.25">
      <c r="A207" s="13" t="s">
        <v>192</v>
      </c>
      <c r="B207" s="4" t="s">
        <v>4</v>
      </c>
      <c r="F207" s="106"/>
    </row>
    <row r="208" spans="1:6" ht="18.75" x14ac:dyDescent="0.25">
      <c r="A208" s="13" t="s">
        <v>193</v>
      </c>
      <c r="B208" s="4" t="s">
        <v>5</v>
      </c>
      <c r="F208" s="106"/>
    </row>
    <row r="209" spans="1:6" x14ac:dyDescent="0.25">
      <c r="A209" s="13" t="s">
        <v>194</v>
      </c>
      <c r="B209" s="4" t="s">
        <v>259</v>
      </c>
      <c r="F209" s="106"/>
    </row>
    <row r="210" spans="1:6" ht="30" x14ac:dyDescent="0.25">
      <c r="A210" s="13" t="s">
        <v>425</v>
      </c>
      <c r="B210" s="4" t="s">
        <v>7</v>
      </c>
      <c r="F210" s="106"/>
    </row>
    <row r="211" spans="1:6" ht="27" x14ac:dyDescent="0.25">
      <c r="A211" s="13" t="s">
        <v>315</v>
      </c>
      <c r="B211" s="4" t="s">
        <v>8</v>
      </c>
      <c r="F211" s="106"/>
    </row>
    <row r="212" spans="1:6" ht="30.75" x14ac:dyDescent="0.25">
      <c r="A212" s="13" t="s">
        <v>316</v>
      </c>
      <c r="B212" s="4" t="s">
        <v>9</v>
      </c>
      <c r="F212" s="106"/>
    </row>
    <row r="213" spans="1:6" x14ac:dyDescent="0.25">
      <c r="A213" s="13" t="s">
        <v>195</v>
      </c>
      <c r="B213" s="4" t="s">
        <v>260</v>
      </c>
      <c r="F213" s="106"/>
    </row>
    <row r="214" spans="1:6" ht="27" x14ac:dyDescent="0.25">
      <c r="A214" s="13" t="s">
        <v>218</v>
      </c>
      <c r="B214" s="4" t="s">
        <v>11</v>
      </c>
      <c r="F214" s="106"/>
    </row>
    <row r="215" spans="1:6" ht="27" x14ac:dyDescent="0.25">
      <c r="A215" s="13" t="s">
        <v>219</v>
      </c>
      <c r="B215" s="4" t="s">
        <v>12</v>
      </c>
      <c r="F215" s="106"/>
    </row>
    <row r="216" spans="1:6" ht="27" x14ac:dyDescent="0.25">
      <c r="A216" s="13" t="s">
        <v>222</v>
      </c>
      <c r="B216" s="4" t="s">
        <v>13</v>
      </c>
      <c r="F216" s="106"/>
    </row>
    <row r="217" spans="1:6" ht="27" x14ac:dyDescent="0.25">
      <c r="A217" s="13" t="s">
        <v>228</v>
      </c>
      <c r="B217" s="4" t="s">
        <v>14</v>
      </c>
      <c r="F217" s="106"/>
    </row>
    <row r="218" spans="1:6" ht="40.5" x14ac:dyDescent="0.25">
      <c r="A218" s="13" t="s">
        <v>223</v>
      </c>
      <c r="B218" s="4" t="s">
        <v>15</v>
      </c>
      <c r="F218" s="106"/>
    </row>
    <row r="219" spans="1:6" ht="45" x14ac:dyDescent="0.25">
      <c r="A219" s="13" t="s">
        <v>229</v>
      </c>
      <c r="B219" s="4" t="s">
        <v>16</v>
      </c>
      <c r="F219" s="106"/>
    </row>
    <row r="220" spans="1:6" ht="45" x14ac:dyDescent="0.25">
      <c r="A220" s="13" t="s">
        <v>230</v>
      </c>
      <c r="B220" s="4" t="s">
        <v>17</v>
      </c>
      <c r="F220" s="106"/>
    </row>
    <row r="221" spans="1:6" ht="45" x14ac:dyDescent="0.25">
      <c r="A221" s="13" t="s">
        <v>231</v>
      </c>
      <c r="B221" s="4" t="s">
        <v>18</v>
      </c>
      <c r="F221" s="106"/>
    </row>
    <row r="222" spans="1:6" x14ac:dyDescent="0.25">
      <c r="A222" s="13" t="s">
        <v>232</v>
      </c>
      <c r="B222" s="4" t="s">
        <v>261</v>
      </c>
      <c r="F222" s="106"/>
    </row>
    <row r="223" spans="1:6" ht="27" x14ac:dyDescent="0.25">
      <c r="A223" s="13" t="s">
        <v>240</v>
      </c>
      <c r="B223" s="4" t="s">
        <v>20</v>
      </c>
      <c r="F223" s="106"/>
    </row>
    <row r="224" spans="1:6" ht="27" x14ac:dyDescent="0.25">
      <c r="A224" s="13" t="s">
        <v>241</v>
      </c>
      <c r="B224" s="4" t="s">
        <v>21</v>
      </c>
      <c r="F224" s="106"/>
    </row>
    <row r="225" spans="1:6" x14ac:dyDescent="0.25">
      <c r="A225" s="5" t="s">
        <v>367</v>
      </c>
      <c r="B225" s="4"/>
      <c r="F225" s="106"/>
    </row>
    <row r="226" spans="1:6" x14ac:dyDescent="0.25">
      <c r="A226" s="12" t="s">
        <v>180</v>
      </c>
      <c r="B226" s="4" t="s">
        <v>74</v>
      </c>
      <c r="F226" s="106"/>
    </row>
    <row r="227" spans="1:6" x14ac:dyDescent="0.25">
      <c r="A227" s="13" t="s">
        <v>426</v>
      </c>
      <c r="B227" s="4" t="s">
        <v>3</v>
      </c>
      <c r="F227" s="106"/>
    </row>
    <row r="228" spans="1:6" x14ac:dyDescent="0.25">
      <c r="A228" s="13" t="s">
        <v>220</v>
      </c>
      <c r="B228" s="4" t="s">
        <v>4</v>
      </c>
      <c r="F228" s="106"/>
    </row>
    <row r="229" spans="1:6" ht="18.75" x14ac:dyDescent="0.25">
      <c r="A229" s="13" t="s">
        <v>221</v>
      </c>
      <c r="B229" s="4" t="s">
        <v>5</v>
      </c>
      <c r="F229" s="106"/>
    </row>
    <row r="230" spans="1:6" x14ac:dyDescent="0.25">
      <c r="A230" s="13" t="s">
        <v>227</v>
      </c>
      <c r="B230" s="4" t="s">
        <v>259</v>
      </c>
      <c r="F230" s="106"/>
    </row>
    <row r="231" spans="1:6" ht="27" x14ac:dyDescent="0.25">
      <c r="A231" s="13" t="s">
        <v>317</v>
      </c>
      <c r="B231" s="4" t="s">
        <v>7</v>
      </c>
      <c r="F231" s="106"/>
    </row>
    <row r="232" spans="1:6" ht="27" x14ac:dyDescent="0.25">
      <c r="A232" s="13" t="s">
        <v>318</v>
      </c>
      <c r="B232" s="4" t="s">
        <v>8</v>
      </c>
      <c r="F232" s="106"/>
    </row>
    <row r="233" spans="1:6" ht="30.75" x14ac:dyDescent="0.25">
      <c r="A233" s="13" t="s">
        <v>319</v>
      </c>
      <c r="B233" s="4" t="s">
        <v>9</v>
      </c>
      <c r="F233" s="106"/>
    </row>
    <row r="234" spans="1:6" x14ac:dyDescent="0.25">
      <c r="A234" s="13" t="s">
        <v>224</v>
      </c>
      <c r="B234" s="4" t="s">
        <v>260</v>
      </c>
      <c r="F234" s="106"/>
    </row>
    <row r="235" spans="1:6" ht="27" x14ac:dyDescent="0.25">
      <c r="A235" s="13" t="s">
        <v>225</v>
      </c>
      <c r="B235" s="4" t="s">
        <v>11</v>
      </c>
      <c r="F235" s="106"/>
    </row>
    <row r="236" spans="1:6" ht="27" x14ac:dyDescent="0.25">
      <c r="A236" s="13" t="s">
        <v>226</v>
      </c>
      <c r="B236" s="4" t="s">
        <v>12</v>
      </c>
      <c r="F236" s="106"/>
    </row>
    <row r="237" spans="1:6" ht="30" x14ac:dyDescent="0.25">
      <c r="A237" s="13" t="s">
        <v>242</v>
      </c>
      <c r="B237" s="4" t="s">
        <v>13</v>
      </c>
      <c r="F237" s="106"/>
    </row>
    <row r="238" spans="1:6" ht="30" x14ac:dyDescent="0.25">
      <c r="A238" s="13" t="s">
        <v>243</v>
      </c>
      <c r="B238" s="4" t="s">
        <v>14</v>
      </c>
      <c r="F238" s="106"/>
    </row>
    <row r="239" spans="1:6" ht="45" x14ac:dyDescent="0.25">
      <c r="A239" s="13" t="s">
        <v>245</v>
      </c>
      <c r="B239" s="4" t="s">
        <v>15</v>
      </c>
      <c r="F239" s="106"/>
    </row>
    <row r="240" spans="1:6" ht="45" x14ac:dyDescent="0.25">
      <c r="A240" s="13" t="s">
        <v>244</v>
      </c>
      <c r="B240" s="4" t="s">
        <v>16</v>
      </c>
      <c r="F240" s="106"/>
    </row>
    <row r="241" spans="1:6" ht="45" x14ac:dyDescent="0.25">
      <c r="A241" s="13" t="s">
        <v>246</v>
      </c>
      <c r="B241" s="4" t="s">
        <v>17</v>
      </c>
      <c r="F241" s="106"/>
    </row>
    <row r="242" spans="1:6" ht="45" x14ac:dyDescent="0.25">
      <c r="A242" s="13" t="s">
        <v>247</v>
      </c>
      <c r="B242" s="4" t="s">
        <v>18</v>
      </c>
      <c r="F242" s="106"/>
    </row>
    <row r="243" spans="1:6" x14ac:dyDescent="0.25">
      <c r="A243" s="13" t="s">
        <v>248</v>
      </c>
      <c r="B243" s="4" t="s">
        <v>261</v>
      </c>
      <c r="F243" s="106"/>
    </row>
    <row r="244" spans="1:6" ht="30" x14ac:dyDescent="0.25">
      <c r="A244" s="13" t="s">
        <v>249</v>
      </c>
      <c r="B244" s="4" t="s">
        <v>20</v>
      </c>
      <c r="F244" s="106"/>
    </row>
    <row r="245" spans="1:6" ht="30" x14ac:dyDescent="0.25">
      <c r="A245" s="13" t="s">
        <v>250</v>
      </c>
      <c r="B245" s="4" t="s">
        <v>21</v>
      </c>
      <c r="F245" s="106"/>
    </row>
    <row r="246" spans="1:6" x14ac:dyDescent="0.25">
      <c r="A246" s="5" t="s">
        <v>368</v>
      </c>
      <c r="B246" s="1"/>
      <c r="F246" s="106"/>
    </row>
    <row r="247" spans="1:6" x14ac:dyDescent="0.25">
      <c r="A247" s="8" t="s">
        <v>180</v>
      </c>
      <c r="B247" s="4" t="s">
        <v>33</v>
      </c>
      <c r="F247" s="106"/>
    </row>
    <row r="248" spans="1:6" x14ac:dyDescent="0.25">
      <c r="A248" s="9" t="s">
        <v>251</v>
      </c>
      <c r="B248" s="4" t="s">
        <v>257</v>
      </c>
      <c r="F248" s="106"/>
    </row>
    <row r="249" spans="1:6" x14ac:dyDescent="0.25">
      <c r="A249" s="5" t="s">
        <v>369</v>
      </c>
      <c r="B249" s="1"/>
      <c r="F249" s="106"/>
    </row>
    <row r="250" spans="1:6" x14ac:dyDescent="0.25">
      <c r="A250" s="9" t="s">
        <v>427</v>
      </c>
      <c r="B250" s="4" t="s">
        <v>33</v>
      </c>
      <c r="F250" s="106"/>
    </row>
    <row r="251" spans="1:6" x14ac:dyDescent="0.25">
      <c r="A251" s="9" t="s">
        <v>196</v>
      </c>
      <c r="B251" s="4" t="s">
        <v>34</v>
      </c>
      <c r="F251" s="106"/>
    </row>
    <row r="252" spans="1:6" x14ac:dyDescent="0.25">
      <c r="A252" s="9" t="s">
        <v>197</v>
      </c>
      <c r="B252" s="4" t="s">
        <v>35</v>
      </c>
      <c r="F252" s="106"/>
    </row>
    <row r="253" spans="1:6" x14ac:dyDescent="0.25">
      <c r="A253" s="9" t="s">
        <v>198</v>
      </c>
      <c r="B253" s="4" t="s">
        <v>36</v>
      </c>
      <c r="F253" s="106"/>
    </row>
    <row r="254" spans="1:6" x14ac:dyDescent="0.25">
      <c r="A254" s="9" t="s">
        <v>199</v>
      </c>
      <c r="B254" s="4" t="s">
        <v>37</v>
      </c>
      <c r="F254" s="106"/>
    </row>
    <row r="255" spans="1:6" x14ac:dyDescent="0.25">
      <c r="A255" s="9" t="s">
        <v>200</v>
      </c>
      <c r="B255" s="4" t="s">
        <v>38</v>
      </c>
      <c r="F255" s="106"/>
    </row>
    <row r="256" spans="1:6" x14ac:dyDescent="0.25">
      <c r="A256" s="9" t="s">
        <v>201</v>
      </c>
      <c r="B256" s="4" t="s">
        <v>39</v>
      </c>
      <c r="F256" s="106"/>
    </row>
    <row r="257" spans="1:6" x14ac:dyDescent="0.25">
      <c r="A257" s="9" t="s">
        <v>202</v>
      </c>
      <c r="B257" s="4" t="s">
        <v>72</v>
      </c>
      <c r="F257" s="106"/>
    </row>
    <row r="258" spans="1:6" x14ac:dyDescent="0.25">
      <c r="A258" s="9" t="s">
        <v>203</v>
      </c>
      <c r="B258" s="4" t="s">
        <v>73</v>
      </c>
      <c r="F258" s="106"/>
    </row>
    <row r="259" spans="1:6" x14ac:dyDescent="0.25">
      <c r="A259" s="9" t="s">
        <v>139</v>
      </c>
      <c r="B259" s="16" t="s">
        <v>257</v>
      </c>
      <c r="F259" s="106"/>
    </row>
    <row r="260" spans="1:6" x14ac:dyDescent="0.25">
      <c r="A260" s="5" t="s">
        <v>370</v>
      </c>
      <c r="B260" s="1"/>
      <c r="F260" s="106"/>
    </row>
    <row r="261" spans="1:6" x14ac:dyDescent="0.25">
      <c r="A261" s="9" t="s">
        <v>428</v>
      </c>
      <c r="B261" s="16">
        <v>1</v>
      </c>
      <c r="F261" s="106"/>
    </row>
    <row r="262" spans="1:6" x14ac:dyDescent="0.25">
      <c r="A262" s="9" t="s">
        <v>204</v>
      </c>
      <c r="B262" s="16">
        <v>2</v>
      </c>
      <c r="F262" s="106"/>
    </row>
    <row r="263" spans="1:6" x14ac:dyDescent="0.25">
      <c r="A263" s="9" t="s">
        <v>205</v>
      </c>
      <c r="B263" s="16">
        <v>3</v>
      </c>
      <c r="F263" s="106"/>
    </row>
    <row r="264" spans="1:6" x14ac:dyDescent="0.25">
      <c r="A264" s="9" t="s">
        <v>206</v>
      </c>
      <c r="B264" s="16">
        <v>4</v>
      </c>
      <c r="F264" s="106"/>
    </row>
    <row r="265" spans="1:6" x14ac:dyDescent="0.25">
      <c r="A265" s="9" t="s">
        <v>207</v>
      </c>
      <c r="B265" s="48" t="s">
        <v>257</v>
      </c>
      <c r="F265" s="106"/>
    </row>
    <row r="266" spans="1:6" x14ac:dyDescent="0.25">
      <c r="A266" s="5" t="s">
        <v>371</v>
      </c>
      <c r="B266" s="1"/>
      <c r="F266" s="106"/>
    </row>
    <row r="267" spans="1:6" x14ac:dyDescent="0.25">
      <c r="A267" s="9" t="s">
        <v>180</v>
      </c>
      <c r="B267" s="4" t="s">
        <v>33</v>
      </c>
      <c r="F267" s="106"/>
    </row>
    <row r="268" spans="1:6" x14ac:dyDescent="0.25">
      <c r="A268" s="9" t="s">
        <v>56</v>
      </c>
      <c r="B268" s="4" t="s">
        <v>34</v>
      </c>
      <c r="F268" s="106"/>
    </row>
    <row r="269" spans="1:6" x14ac:dyDescent="0.25">
      <c r="A269" s="5" t="s">
        <v>372</v>
      </c>
      <c r="B269" s="1"/>
      <c r="F269" s="106"/>
    </row>
    <row r="270" spans="1:6" x14ac:dyDescent="0.25">
      <c r="A270" s="14" t="s">
        <v>45</v>
      </c>
      <c r="B270" s="1"/>
      <c r="F270" s="106"/>
    </row>
    <row r="271" spans="1:6" x14ac:dyDescent="0.25">
      <c r="A271" s="5" t="s">
        <v>373</v>
      </c>
      <c r="B271" s="1"/>
      <c r="F271" s="106"/>
    </row>
    <row r="272" spans="1:6" x14ac:dyDescent="0.25">
      <c r="A272" s="14" t="s">
        <v>45</v>
      </c>
      <c r="B272" s="1"/>
      <c r="F272" s="106"/>
    </row>
    <row r="273" spans="1:6" x14ac:dyDescent="0.25">
      <c r="A273" s="5" t="s">
        <v>374</v>
      </c>
      <c r="B273" s="1"/>
      <c r="F273" s="106"/>
    </row>
    <row r="274" spans="1:6" x14ac:dyDescent="0.25">
      <c r="A274" s="73" t="s">
        <v>33</v>
      </c>
      <c r="B274" s="16">
        <v>0</v>
      </c>
      <c r="F274" s="106"/>
    </row>
    <row r="275" spans="1:6" x14ac:dyDescent="0.25">
      <c r="A275" s="9" t="s">
        <v>46</v>
      </c>
      <c r="B275" s="16">
        <v>1</v>
      </c>
      <c r="F275" s="106"/>
    </row>
    <row r="276" spans="1:6" x14ac:dyDescent="0.25">
      <c r="A276" s="9" t="s">
        <v>47</v>
      </c>
      <c r="B276" s="16">
        <v>2</v>
      </c>
      <c r="F276" s="106"/>
    </row>
    <row r="277" spans="1:6" x14ac:dyDescent="0.25">
      <c r="A277" s="9" t="s">
        <v>48</v>
      </c>
      <c r="B277" s="16">
        <v>3</v>
      </c>
      <c r="F277" s="106"/>
    </row>
    <row r="278" spans="1:6" x14ac:dyDescent="0.25">
      <c r="A278" s="9" t="s">
        <v>429</v>
      </c>
      <c r="B278" s="16">
        <v>4</v>
      </c>
      <c r="F278" s="106"/>
    </row>
    <row r="279" spans="1:6" x14ac:dyDescent="0.25">
      <c r="A279" s="9" t="s">
        <v>49</v>
      </c>
      <c r="B279" s="16">
        <v>5</v>
      </c>
      <c r="F279" s="106"/>
    </row>
    <row r="280" spans="1:6" x14ac:dyDescent="0.25">
      <c r="A280" s="9" t="s">
        <v>50</v>
      </c>
      <c r="B280" s="16">
        <v>6</v>
      </c>
      <c r="F280" s="106"/>
    </row>
    <row r="281" spans="1:6" x14ac:dyDescent="0.25">
      <c r="A281" s="5" t="s">
        <v>375</v>
      </c>
      <c r="B281" s="1"/>
      <c r="F281" s="106"/>
    </row>
    <row r="282" spans="1:6" x14ac:dyDescent="0.25">
      <c r="A282" s="73" t="s">
        <v>274</v>
      </c>
      <c r="B282" s="16">
        <v>0</v>
      </c>
      <c r="F282" s="106"/>
    </row>
    <row r="283" spans="1:6" x14ac:dyDescent="0.25">
      <c r="A283" s="9" t="s">
        <v>208</v>
      </c>
      <c r="B283" s="16">
        <v>1</v>
      </c>
      <c r="F283" s="106"/>
    </row>
    <row r="284" spans="1:6" x14ac:dyDescent="0.25">
      <c r="A284" s="9" t="s">
        <v>430</v>
      </c>
      <c r="B284" s="16">
        <v>2</v>
      </c>
      <c r="F284" s="106"/>
    </row>
    <row r="285" spans="1:6" x14ac:dyDescent="0.25">
      <c r="A285" s="9" t="s">
        <v>42</v>
      </c>
      <c r="B285" s="16">
        <v>3</v>
      </c>
      <c r="F285" s="106"/>
    </row>
    <row r="286" spans="1:6" x14ac:dyDescent="0.25">
      <c r="A286" s="9" t="s">
        <v>43</v>
      </c>
      <c r="B286" s="16">
        <v>4</v>
      </c>
      <c r="F286" s="106"/>
    </row>
    <row r="287" spans="1:6" x14ac:dyDescent="0.25">
      <c r="A287" s="9" t="s">
        <v>44</v>
      </c>
      <c r="B287" s="16">
        <v>5</v>
      </c>
      <c r="F287" s="106"/>
    </row>
    <row r="288" spans="1:6" x14ac:dyDescent="0.25">
      <c r="A288" s="5" t="s">
        <v>376</v>
      </c>
      <c r="B288" s="1"/>
      <c r="F288" s="106"/>
    </row>
    <row r="289" spans="1:6" x14ac:dyDescent="0.25">
      <c r="A289" s="9" t="s">
        <v>209</v>
      </c>
      <c r="B289" s="16">
        <v>0</v>
      </c>
      <c r="F289" s="106"/>
    </row>
    <row r="290" spans="1:6" x14ac:dyDescent="0.25">
      <c r="A290" s="9" t="s">
        <v>210</v>
      </c>
      <c r="B290" s="16">
        <v>1</v>
      </c>
      <c r="F290" s="106"/>
    </row>
    <row r="291" spans="1:6" x14ac:dyDescent="0.25">
      <c r="A291" s="9" t="s">
        <v>340</v>
      </c>
      <c r="B291" s="16">
        <v>8</v>
      </c>
      <c r="F291" s="106"/>
    </row>
    <row r="292" spans="1:6" x14ac:dyDescent="0.25">
      <c r="A292" s="9" t="s">
        <v>341</v>
      </c>
      <c r="B292" s="16">
        <v>9</v>
      </c>
      <c r="F292" s="106"/>
    </row>
    <row r="293" spans="1:6" x14ac:dyDescent="0.25">
      <c r="A293" s="9" t="s">
        <v>139</v>
      </c>
      <c r="B293" s="16" t="s">
        <v>257</v>
      </c>
      <c r="F293" s="106"/>
    </row>
    <row r="294" spans="1:6" x14ac:dyDescent="0.25">
      <c r="A294" s="5" t="s">
        <v>377</v>
      </c>
      <c r="B294" s="16"/>
      <c r="F294" s="106"/>
    </row>
    <row r="295" spans="1:6" x14ac:dyDescent="0.25">
      <c r="A295" s="14" t="s">
        <v>65</v>
      </c>
      <c r="B295" s="16"/>
      <c r="F295" s="106"/>
    </row>
    <row r="296" spans="1:6" x14ac:dyDescent="0.25">
      <c r="A296" s="5" t="s">
        <v>378</v>
      </c>
      <c r="B296" s="1"/>
      <c r="F296" s="106"/>
    </row>
    <row r="297" spans="1:6" x14ac:dyDescent="0.25">
      <c r="A297" s="9" t="s">
        <v>127</v>
      </c>
      <c r="B297" s="16">
        <v>0</v>
      </c>
      <c r="F297" s="106"/>
    </row>
    <row r="298" spans="1:6" x14ac:dyDescent="0.25">
      <c r="A298" s="9" t="s">
        <v>211</v>
      </c>
      <c r="B298" s="16">
        <v>1</v>
      </c>
      <c r="F298" s="106"/>
    </row>
    <row r="299" spans="1:6" x14ac:dyDescent="0.25">
      <c r="A299" s="9" t="s">
        <v>139</v>
      </c>
      <c r="B299" s="16" t="s">
        <v>257</v>
      </c>
      <c r="F299" s="106"/>
    </row>
    <row r="300" spans="1:6" x14ac:dyDescent="0.25">
      <c r="A300" s="5" t="s">
        <v>379</v>
      </c>
      <c r="B300" s="1"/>
      <c r="F300" s="106"/>
    </row>
    <row r="301" spans="1:6" x14ac:dyDescent="0.25">
      <c r="A301" s="9" t="s">
        <v>212</v>
      </c>
      <c r="B301" s="16">
        <v>1</v>
      </c>
      <c r="F301" s="106"/>
    </row>
    <row r="302" spans="1:6" x14ac:dyDescent="0.25">
      <c r="A302" s="9" t="s">
        <v>287</v>
      </c>
      <c r="B302" s="16">
        <v>2</v>
      </c>
      <c r="F302" s="106"/>
    </row>
    <row r="303" spans="1:6" x14ac:dyDescent="0.25">
      <c r="A303" s="9" t="s">
        <v>213</v>
      </c>
      <c r="B303" s="16">
        <v>3</v>
      </c>
      <c r="F303" s="106"/>
    </row>
    <row r="304" spans="1:6" x14ac:dyDescent="0.25">
      <c r="A304" s="9" t="s">
        <v>139</v>
      </c>
      <c r="B304" s="16" t="s">
        <v>257</v>
      </c>
      <c r="F304" s="106"/>
    </row>
    <row r="305" spans="1:6" x14ac:dyDescent="0.25">
      <c r="A305" s="5" t="s">
        <v>380</v>
      </c>
      <c r="B305" s="1"/>
      <c r="F305" s="106"/>
    </row>
    <row r="306" spans="1:6" x14ac:dyDescent="0.25">
      <c r="A306" s="9" t="s">
        <v>214</v>
      </c>
      <c r="B306" s="16">
        <v>1</v>
      </c>
      <c r="F306" s="106"/>
    </row>
    <row r="307" spans="1:6" x14ac:dyDescent="0.25">
      <c r="A307" s="9" t="s">
        <v>431</v>
      </c>
      <c r="B307" s="16">
        <v>2</v>
      </c>
      <c r="F307" s="106"/>
    </row>
    <row r="308" spans="1:6" x14ac:dyDescent="0.25">
      <c r="A308" s="9" t="s">
        <v>216</v>
      </c>
      <c r="B308" s="16">
        <v>3</v>
      </c>
      <c r="F308" s="106"/>
    </row>
    <row r="309" spans="1:6" x14ac:dyDescent="0.25">
      <c r="A309" s="9" t="s">
        <v>215</v>
      </c>
      <c r="B309" s="16">
        <v>4</v>
      </c>
      <c r="F309" s="106"/>
    </row>
    <row r="310" spans="1:6" x14ac:dyDescent="0.25">
      <c r="A310" s="9" t="s">
        <v>217</v>
      </c>
      <c r="B310" s="16">
        <v>5</v>
      </c>
      <c r="F310" s="106"/>
    </row>
    <row r="311" spans="1:6" x14ac:dyDescent="0.25">
      <c r="A311" s="9" t="s">
        <v>139</v>
      </c>
      <c r="B311" s="16" t="s">
        <v>257</v>
      </c>
      <c r="F311" s="106"/>
    </row>
  </sheetData>
  <sheetProtection algorithmName="SHA-512" hashValue="1psgt0e2WXavKt8555JFkJIYlIL+H28WlaZ4VorcQpVlp0tjBS5geOh17L3c16kRiZWkvUo/JBt7ZP+A2kiYuw==" saltValue="jvLPROiViw4HvqpIkpftlw==" spinCount="100000" sheet="1" formatColumns="0" formatRows="0" selectLockedCells="1"/>
  <phoneticPr fontId="20" type="noConversion"/>
  <printOptions headings="1"/>
  <pageMargins left="1.0236220472440944" right="0.23622047244094491" top="0.35433070866141736" bottom="0.35433070866141736" header="0.31496062992125984" footer="0.31496062992125984"/>
  <pageSetup paperSize="9" orientation="portrait" r:id="rId1"/>
  <ignoredErrors>
    <ignoredError sqref="B137 B150 A167 A169:A171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H56"/>
  <sheetViews>
    <sheetView topLeftCell="A34" workbookViewId="0">
      <selection activeCell="C15" sqref="C15"/>
    </sheetView>
  </sheetViews>
  <sheetFormatPr defaultRowHeight="15" x14ac:dyDescent="0.25"/>
  <cols>
    <col min="1" max="1" width="6.140625" customWidth="1"/>
    <col min="2" max="2" width="5" style="17" bestFit="1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30" t="s">
        <v>29</v>
      </c>
      <c r="B1" s="31"/>
      <c r="C1" s="32"/>
      <c r="D1" s="32"/>
      <c r="E1" s="44" t="s">
        <v>52</v>
      </c>
      <c r="F1" s="41">
        <f>COUNTBLANK(KodyOC)</f>
        <v>46</v>
      </c>
      <c r="G1" s="46" t="s">
        <v>55</v>
      </c>
      <c r="H1" s="88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","")&amp;""&amp;IF(G18&lt;&gt;"",A18&amp;" - "&amp;G18&amp;", ","")&amp;""&amp;IF(G19&lt;&gt;"",A19&amp;" - "&amp;G19&amp;", ","")&amp;""&amp;IF(G20&lt;&gt;"",A20&amp;" - "&amp;G20&amp;", ","")&amp;""&amp;IF(G21&lt;&gt;"",A21&amp;" - "&amp;G21&amp;", ","")&amp;""&amp;IF(G22&lt;&gt;"",A22&amp;" - "&amp;G22&amp;", ","")&amp;""&amp;IF(G23&lt;&gt;"",A23&amp;" - "&amp;G23&amp;", ","")&amp;""&amp;IF(G24&lt;&gt;"",A24&amp;" - "&amp;G24&amp;", ","")&amp;""&amp;IF(G25&lt;&gt;"",A25&amp;" - "&amp;G25&amp;", ","")&amp;""&amp;IF(G26&lt;&gt;"",A26&amp;" - "&amp;G26&amp;", ","")&amp;""&amp;IF(G27&lt;&gt;"",A27&amp;" - "&amp;G27&amp;", ","")&amp;""&amp;IF(G28&lt;&gt;"",A28&amp;" - "&amp;G28&amp;", ","")&amp;""&amp;IF(G29&lt;&gt;"",A29&amp;" - "&amp;G29&amp;", ","")&amp;""&amp;IF(G30&lt;&gt;"",A30&amp;" - "&amp;G30&amp;", ","")&amp;""&amp;IF(G31&lt;&gt;"",A31&amp;" - "&amp;G31&amp;", ","")&amp;""&amp;IF(G32&lt;&gt;"",A32&amp;" - "&amp;G32&amp;", ","")&amp;""&amp;IF(G33&lt;&gt;"",A33&amp;" - "&amp;G33&amp;", ","")&amp;""&amp;IF(G34&lt;&gt;"",A34&amp;" - "&amp;G34&amp;", ","")&amp;""&amp;IF(G35&lt;&gt;"",A35&amp;" - "&amp;G35&amp;", ","")&amp;""&amp;IF(G36&lt;&gt;"",A36&amp;" - "&amp;G36&amp;", ","")&amp;""&amp;IF(G37&lt;&gt;"",A37&amp;" - "&amp;G37&amp;", ","")&amp;""&amp;IF(G38&lt;&gt;"",A38&amp;" - "&amp;G38&amp;", ","")&amp;""&amp;IF(G39&lt;&gt;"",A39&amp;" - "&amp;G39&amp;", ","")&amp;""&amp;IF(G40&lt;&gt;"",A40&amp;" - "&amp;G40&amp;", ","")&amp;""&amp;IF(G41&lt;&gt;"",A41&amp;" - "&amp;G41&amp;", ","")&amp;""&amp;IF(G42&lt;&gt;"",A42&amp;" - "&amp;G42&amp;", ","")&amp;""&amp;IF(G43&lt;&gt;"",A43&amp;" - "&amp;G43&amp;", ","")&amp;""&amp;IF(G44&lt;&gt;"",A44&amp;" - "&amp;G44&amp;", ","")&amp;""&amp;IF(G45&lt;&gt;"",A45&amp;" - "&amp;G45&amp;", ","")&amp;""&amp;IF(G46&lt;&gt;"",A46&amp;" - "&amp;G46&amp;", ","")&amp;""&amp;IF(G47&lt;&gt;"",A47&amp;" - "&amp;G47&amp;", ","")&amp;""&amp;IF(G48&lt;&gt;"",A48&amp;" - "&amp;G48&amp;", ","")&amp;""&amp;IF(G49&lt;&gt;"",A49&amp;" - "&amp;G49&amp;", ","")&amp;""&amp;IF(G50&lt;&gt;"",A50&amp;" - "&amp;G50&amp;", ","")&amp;""&amp;IF(G51&lt;&gt;"",A51&amp;" - "&amp;G51&amp;", ","")&amp;""&amp;IF(G52&lt;&gt;"",A52&amp;" - "&amp;G52&amp;", ","")&amp;""&amp;IF(G53&lt;&gt;"",A53&amp;" - "&amp;G53&amp;", ","")&amp;""&amp;IF(G54&lt;&gt;"",A54&amp;" - "&amp;G54&amp;", ","")&amp;""&amp;IF(G55&lt;&gt;"",A55&amp;" - "&amp;G55&amp;", ","")&amp;""&amp;IF(G56&lt;&gt;"",A56&amp;" - "&amp;G56&amp;", ",""))</f>
        <v/>
      </c>
    </row>
    <row r="2" spans="1:8" ht="14.25" customHeight="1" thickBot="1" x14ac:dyDescent="0.4">
      <c r="A2" s="30"/>
      <c r="B2" s="31"/>
      <c r="D2" s="32"/>
      <c r="E2" s="45" t="s">
        <v>54</v>
      </c>
      <c r="F2" s="41">
        <f>COUNTBLANK(KodyOC_HW)</f>
        <v>17</v>
      </c>
      <c r="G2" s="63"/>
      <c r="H2" s="33"/>
    </row>
    <row r="3" spans="1:8" ht="14.25" customHeight="1" thickBot="1" x14ac:dyDescent="0.3">
      <c r="A3" s="68" t="s">
        <v>75</v>
      </c>
      <c r="B3" s="69" t="s">
        <v>76</v>
      </c>
      <c r="C3" s="70" t="s">
        <v>77</v>
      </c>
      <c r="D3" s="71" t="s">
        <v>78</v>
      </c>
      <c r="E3" s="72"/>
      <c r="F3" s="41"/>
      <c r="G3" s="63"/>
      <c r="H3" s="33"/>
    </row>
    <row r="4" spans="1:8" ht="15.75" x14ac:dyDescent="0.25">
      <c r="A4" s="34">
        <v>0</v>
      </c>
      <c r="B4" s="35" t="s">
        <v>30</v>
      </c>
      <c r="C4" s="36"/>
      <c r="D4" s="36"/>
      <c r="E4" s="32"/>
      <c r="F4" s="32"/>
      <c r="G4" s="43" t="s">
        <v>53</v>
      </c>
      <c r="H4" s="32"/>
    </row>
    <row r="5" spans="1:8" x14ac:dyDescent="0.25">
      <c r="A5" s="37">
        <f>Specification!B5</f>
        <v>5</v>
      </c>
      <c r="B5" s="38" t="str">
        <f>Specification!E5</f>
        <v/>
      </c>
      <c r="C5" s="39" t="str">
        <f>Specification!C5</f>
        <v>Sensor design</v>
      </c>
      <c r="D5" s="40">
        <f>Specification!D5</f>
        <v>0</v>
      </c>
      <c r="E5" s="36"/>
      <c r="F5" s="32"/>
      <c r="G5" s="85" t="str">
        <f>IF(MID(B5,1,1)="X",C5,"")</f>
        <v/>
      </c>
      <c r="H5" s="32"/>
    </row>
    <row r="6" spans="1:8" x14ac:dyDescent="0.25">
      <c r="A6" s="37">
        <f>Specification!B6</f>
        <v>6</v>
      </c>
      <c r="B6" s="38" t="str">
        <f>Specification!E6</f>
        <v/>
      </c>
      <c r="C6" s="39" t="str">
        <f>Specification!C6</f>
        <v>Flowmeter version and equipment</v>
      </c>
      <c r="D6" s="40">
        <f>Specification!D6</f>
        <v>0</v>
      </c>
      <c r="E6" s="36"/>
      <c r="F6" s="32"/>
      <c r="G6" s="86" t="str">
        <f>IF(MID(B6,1,1)="X",C6,"")</f>
        <v/>
      </c>
      <c r="H6" s="32"/>
    </row>
    <row r="7" spans="1:8" x14ac:dyDescent="0.25">
      <c r="A7" s="37" t="str">
        <f>Specification!B7</f>
        <v xml:space="preserve"> - </v>
      </c>
      <c r="B7" s="38" t="str">
        <f>Specification!E7</f>
        <v>.1-</v>
      </c>
      <c r="C7" s="39" t="str">
        <f>Specification!C7</f>
        <v>TECHNICAL PARAMETERS</v>
      </c>
      <c r="D7" s="40" t="str">
        <f>Specification!D7</f>
        <v xml:space="preserve"> - </v>
      </c>
      <c r="E7" s="36"/>
      <c r="F7" s="32"/>
      <c r="G7" s="86" t="str">
        <f t="shared" ref="G7:G56" si="0">IF(MID(B7,1,1)="X",C7,"")</f>
        <v/>
      </c>
      <c r="H7" s="32"/>
    </row>
    <row r="8" spans="1:8" x14ac:dyDescent="0.25">
      <c r="A8" s="37">
        <f>Specification!B8</f>
        <v>8</v>
      </c>
      <c r="B8" s="38" t="str">
        <f>Specification!E8</f>
        <v/>
      </c>
      <c r="C8" s="39" t="str">
        <f>Specification!C8</f>
        <v>Dimension of sensor DN/max flow rate</v>
      </c>
      <c r="D8" s="40">
        <f>Specification!D8</f>
        <v>0</v>
      </c>
      <c r="E8" s="36"/>
      <c r="F8" s="32"/>
      <c r="G8" s="86" t="str">
        <f t="shared" si="0"/>
        <v/>
      </c>
      <c r="H8" s="32"/>
    </row>
    <row r="9" spans="1:8" x14ac:dyDescent="0.25">
      <c r="A9" s="37">
        <f>Specification!B9</f>
        <v>9</v>
      </c>
      <c r="B9" s="38" t="str">
        <f>Specification!E9</f>
        <v/>
      </c>
      <c r="C9" s="39" t="str">
        <f>Specification!C9</f>
        <v>Sensor flanges</v>
      </c>
      <c r="D9" s="40">
        <f>Specification!D9</f>
        <v>0</v>
      </c>
      <c r="E9" s="36"/>
      <c r="F9" s="32"/>
      <c r="G9" s="86" t="str">
        <f t="shared" si="0"/>
        <v/>
      </c>
      <c r="H9" s="32"/>
    </row>
    <row r="10" spans="1:8" x14ac:dyDescent="0.25">
      <c r="A10" s="37">
        <f>Specification!B10</f>
        <v>10</v>
      </c>
      <c r="B10" s="38" t="str">
        <f>Specification!E10</f>
        <v/>
      </c>
      <c r="C10" s="39" t="str">
        <f>Specification!C10</f>
        <v>Sensor material, coating</v>
      </c>
      <c r="D10" s="40">
        <f>Specification!D10</f>
        <v>0</v>
      </c>
      <c r="E10" s="36"/>
      <c r="F10" s="32"/>
      <c r="G10" s="86" t="str">
        <f t="shared" si="0"/>
        <v/>
      </c>
      <c r="H10" s="32"/>
    </row>
    <row r="11" spans="1:8" x14ac:dyDescent="0.25">
      <c r="A11" s="37">
        <f>Specification!B11</f>
        <v>11</v>
      </c>
      <c r="B11" s="38" t="str">
        <f>Specification!E11</f>
        <v/>
      </c>
      <c r="C11" s="39" t="str">
        <f>Specification!C11</f>
        <v>Electrodes material</v>
      </c>
      <c r="D11" s="40">
        <f>Specification!D11</f>
        <v>0</v>
      </c>
      <c r="E11" s="36"/>
      <c r="F11" s="32"/>
      <c r="G11" s="86" t="str">
        <f t="shared" si="0"/>
        <v/>
      </c>
      <c r="H11" s="32"/>
    </row>
    <row r="12" spans="1:8" x14ac:dyDescent="0.25">
      <c r="A12" s="37">
        <f>Specification!B12</f>
        <v>12</v>
      </c>
      <c r="B12" s="38" t="str">
        <f>Specification!E12</f>
        <v/>
      </c>
      <c r="C12" s="39" t="str">
        <f>Specification!C12</f>
        <v>Grounding electrodes</v>
      </c>
      <c r="D12" s="40">
        <f>Specification!D12</f>
        <v>0</v>
      </c>
      <c r="E12" s="36"/>
      <c r="F12" s="32"/>
      <c r="G12" s="86" t="str">
        <f t="shared" si="0"/>
        <v/>
      </c>
      <c r="H12" s="32"/>
    </row>
    <row r="13" spans="1:8" x14ac:dyDescent="0.25">
      <c r="A13" s="37">
        <f>Specification!B13</f>
        <v>13</v>
      </c>
      <c r="B13" s="38" t="str">
        <f>Specification!E13</f>
        <v/>
      </c>
      <c r="C13" s="39" t="str">
        <f>Specification!C13</f>
        <v>Sensor lining</v>
      </c>
      <c r="D13" s="40">
        <f>Specification!D13</f>
        <v>0</v>
      </c>
      <c r="E13" s="36"/>
      <c r="F13" s="32"/>
      <c r="G13" s="86" t="str">
        <f t="shared" si="0"/>
        <v/>
      </c>
      <c r="H13" s="32"/>
    </row>
    <row r="14" spans="1:8" x14ac:dyDescent="0.25">
      <c r="A14" s="37">
        <f>Specification!B14</f>
        <v>14</v>
      </c>
      <c r="B14" s="38" t="str">
        <f>Specification!E14</f>
        <v/>
      </c>
      <c r="C14" s="39" t="str">
        <f>Specification!C14</f>
        <v>Sensor protection</v>
      </c>
      <c r="D14" s="40">
        <f>Specification!D14</f>
        <v>0</v>
      </c>
      <c r="E14" s="36"/>
      <c r="F14" s="32"/>
      <c r="G14" s="86" t="str">
        <f t="shared" si="0"/>
        <v/>
      </c>
      <c r="H14" s="32"/>
    </row>
    <row r="15" spans="1:8" x14ac:dyDescent="0.25">
      <c r="A15" s="37">
        <f>Specification!B15</f>
        <v>15</v>
      </c>
      <c r="B15" s="38" t="str">
        <f>Specification!E15</f>
        <v/>
      </c>
      <c r="C15" s="39" t="str">
        <f>Specification!C15</f>
        <v>Nominal pressure PN [bar]/psi [lb/in²]</v>
      </c>
      <c r="D15" s="40">
        <f>Specification!D15</f>
        <v>0</v>
      </c>
      <c r="E15" s="36"/>
      <c r="F15" s="32"/>
      <c r="G15" s="86" t="str">
        <f t="shared" si="0"/>
        <v/>
      </c>
      <c r="H15" s="32"/>
    </row>
    <row r="16" spans="1:8" x14ac:dyDescent="0.25">
      <c r="A16" s="37">
        <f>Specification!B16</f>
        <v>16</v>
      </c>
      <c r="B16" s="38" t="str">
        <f>Specification!E16</f>
        <v/>
      </c>
      <c r="C16" s="39" t="str">
        <f>Specification!C16</f>
        <v>Tmax liquid [ °C ]</v>
      </c>
      <c r="D16" s="40">
        <f>Specification!D16</f>
        <v>0</v>
      </c>
      <c r="E16" s="36"/>
      <c r="F16" s="32"/>
      <c r="G16" s="86" t="str">
        <f t="shared" si="0"/>
        <v/>
      </c>
      <c r="H16" s="32"/>
    </row>
    <row r="17" spans="1:8" x14ac:dyDescent="0.25">
      <c r="A17" s="37">
        <f>Specification!B17</f>
        <v>17</v>
      </c>
      <c r="B17" s="38" t="str">
        <f>Specification!E17</f>
        <v/>
      </c>
      <c r="C17" s="39" t="str">
        <f>Specification!C17</f>
        <v>Nominal pressure PN [bar]/psi [lb/in²]</v>
      </c>
      <c r="D17" s="40">
        <f>Specification!D17</f>
        <v>0</v>
      </c>
      <c r="E17" s="36"/>
      <c r="F17" s="32"/>
      <c r="G17" s="86" t="str">
        <f t="shared" si="0"/>
        <v/>
      </c>
      <c r="H17" s="32"/>
    </row>
    <row r="18" spans="1:8" x14ac:dyDescent="0.25">
      <c r="A18" s="37">
        <f>Specification!B18</f>
        <v>18</v>
      </c>
      <c r="B18" s="38" t="str">
        <f>Specification!E18</f>
        <v/>
      </c>
      <c r="C18" s="39" t="str">
        <f>Specification!C18</f>
        <v>Power supply</v>
      </c>
      <c r="D18" s="40">
        <f>Specification!D18</f>
        <v>0</v>
      </c>
      <c r="E18" s="36"/>
      <c r="F18" s="32"/>
      <c r="G18" s="86" t="str">
        <f t="shared" si="0"/>
        <v/>
      </c>
      <c r="H18" s="32"/>
    </row>
    <row r="19" spans="1:8" x14ac:dyDescent="0.25">
      <c r="A19" s="37">
        <f>Specification!B20</f>
        <v>20</v>
      </c>
      <c r="B19" s="38" t="str">
        <f>Specification!E20</f>
        <v/>
      </c>
      <c r="C19" s="39" t="str">
        <f>Specification!C20</f>
        <v>Empty pipe detection</v>
      </c>
      <c r="D19" s="40">
        <f>Specification!D20</f>
        <v>0</v>
      </c>
      <c r="E19" s="36"/>
      <c r="F19" s="32"/>
      <c r="G19" s="86" t="str">
        <f t="shared" si="0"/>
        <v/>
      </c>
      <c r="H19" s="32"/>
    </row>
    <row r="20" spans="1:8" x14ac:dyDescent="0.25">
      <c r="A20" s="37">
        <f>Specification!B21</f>
        <v>21</v>
      </c>
      <c r="B20" s="38" t="str">
        <f>Specification!E21</f>
        <v/>
      </c>
      <c r="C20" s="39" t="str">
        <f>Specification!C21</f>
        <v>Type of liquid by PED 2014/68/EU</v>
      </c>
      <c r="D20" s="40">
        <f>Specification!D21</f>
        <v>0</v>
      </c>
      <c r="E20" s="36"/>
      <c r="F20" s="32"/>
      <c r="G20" s="86" t="str">
        <f t="shared" si="0"/>
        <v/>
      </c>
      <c r="H20" s="32"/>
    </row>
    <row r="21" spans="1:8" x14ac:dyDescent="0.25">
      <c r="A21" s="37">
        <f>Specification!B22</f>
        <v>22</v>
      </c>
      <c r="B21" s="38" t="str">
        <f>Specification!E22</f>
        <v/>
      </c>
      <c r="C21" s="39" t="str">
        <f>Specification!C22</f>
        <v>Category by PED 2014/68/EU</v>
      </c>
      <c r="D21" s="40">
        <f>Specification!D22</f>
        <v>0</v>
      </c>
      <c r="E21" s="36"/>
      <c r="F21" s="32"/>
      <c r="G21" s="86" t="str">
        <f t="shared" si="0"/>
        <v/>
      </c>
      <c r="H21" s="32"/>
    </row>
    <row r="22" spans="1:8" x14ac:dyDescent="0.25">
      <c r="A22" s="37">
        <f>Specification!B23</f>
        <v>23</v>
      </c>
      <c r="B22" s="38" t="str">
        <f>Specification!E23</f>
        <v/>
      </c>
      <c r="C22" s="39" t="str">
        <f>Specification!C23</f>
        <v>Type of measured liquid</v>
      </c>
      <c r="D22" s="40">
        <f>Specification!D23</f>
        <v>0</v>
      </c>
      <c r="E22" s="36"/>
      <c r="F22" s="32"/>
      <c r="G22" s="86" t="str">
        <f t="shared" si="0"/>
        <v/>
      </c>
      <c r="H22" s="32"/>
    </row>
    <row r="23" spans="1:8" x14ac:dyDescent="0.25">
      <c r="A23" s="37">
        <f>Specification!B24</f>
        <v>24</v>
      </c>
      <c r="B23" s="38" t="str">
        <f>Specification!E24</f>
        <v/>
      </c>
      <c r="C23" s="39" t="str">
        <f>Specification!C24</f>
        <v>Grounding rings</v>
      </c>
      <c r="D23" s="40">
        <f>Specification!D24</f>
        <v>0</v>
      </c>
      <c r="E23" s="36"/>
      <c r="F23" s="32"/>
      <c r="G23" s="86" t="str">
        <f t="shared" si="0"/>
        <v/>
      </c>
      <c r="H23" s="32"/>
    </row>
    <row r="24" spans="1:8" x14ac:dyDescent="0.25">
      <c r="A24" s="37">
        <f>Specification!B25</f>
        <v>25</v>
      </c>
      <c r="B24" s="38" t="str">
        <f>Specification!E25</f>
        <v/>
      </c>
      <c r="C24" s="39" t="str">
        <f>Specification!C25</f>
        <v>Length of cable</v>
      </c>
      <c r="D24" s="40">
        <f>Specification!D25</f>
        <v>0</v>
      </c>
      <c r="E24" s="36"/>
      <c r="F24" s="32"/>
      <c r="G24" s="86" t="str">
        <f t="shared" si="0"/>
        <v/>
      </c>
      <c r="H24" s="32"/>
    </row>
    <row r="25" spans="1:8" x14ac:dyDescent="0.25">
      <c r="A25" s="37" t="str">
        <f>Specification!B26</f>
        <v xml:space="preserve"> - </v>
      </c>
      <c r="B25" s="38" t="str">
        <f>Specification!E26</f>
        <v>-</v>
      </c>
      <c r="C25" s="39" t="str">
        <f>Specification!C26</f>
        <v>FLOW METER SETTINGS</v>
      </c>
      <c r="D25" s="40" t="str">
        <f>Specification!D26</f>
        <v xml:space="preserve"> - </v>
      </c>
      <c r="E25" s="36"/>
      <c r="F25" s="32"/>
      <c r="G25" s="86" t="str">
        <f t="shared" si="0"/>
        <v/>
      </c>
      <c r="H25" s="32"/>
    </row>
    <row r="26" spans="1:8" x14ac:dyDescent="0.25">
      <c r="A26" s="37">
        <f>Specification!B27</f>
        <v>27</v>
      </c>
      <c r="B26" s="38" t="str">
        <f>Specification!E27</f>
        <v/>
      </c>
      <c r="C26" s="39" t="str">
        <f>Specification!C27</f>
        <v>Measurement type</v>
      </c>
      <c r="D26" s="40">
        <f>Specification!D27</f>
        <v>0</v>
      </c>
      <c r="E26" s="36"/>
      <c r="F26" s="32"/>
      <c r="G26" s="86" t="str">
        <f t="shared" si="0"/>
        <v/>
      </c>
      <c r="H26" s="32"/>
    </row>
    <row r="27" spans="1:8" x14ac:dyDescent="0.25">
      <c r="A27" s="37">
        <f>Specification!B28</f>
        <v>28</v>
      </c>
      <c r="B27" s="38" t="str">
        <f>Specification!E28</f>
        <v/>
      </c>
      <c r="C27" s="39" t="str">
        <f>Specification!C28</f>
        <v>Measurement in sensitivity</v>
      </c>
      <c r="D27" s="40">
        <f>Specification!D28</f>
        <v>0</v>
      </c>
      <c r="E27" s="36"/>
      <c r="F27" s="32"/>
      <c r="G27" s="86" t="str">
        <f t="shared" si="0"/>
        <v/>
      </c>
      <c r="H27" s="32"/>
    </row>
    <row r="28" spans="1:8" x14ac:dyDescent="0.25">
      <c r="A28" s="37">
        <f>Specification!B29</f>
        <v>29</v>
      </c>
      <c r="B28" s="38" t="str">
        <f>Specification!E29</f>
        <v/>
      </c>
      <c r="C28" s="39" t="str">
        <f>Specification!C29</f>
        <v>Dosing</v>
      </c>
      <c r="D28" s="40">
        <f>Specification!D29</f>
        <v>0</v>
      </c>
      <c r="E28" s="36"/>
      <c r="F28" s="32"/>
      <c r="G28" s="86" t="str">
        <f t="shared" si="0"/>
        <v/>
      </c>
      <c r="H28" s="32"/>
    </row>
    <row r="29" spans="1:8" x14ac:dyDescent="0.25">
      <c r="A29" s="37">
        <f>Specification!B30</f>
        <v>30</v>
      </c>
      <c r="B29" s="38" t="str">
        <f>Specification!E30</f>
        <v/>
      </c>
      <c r="C29" s="39" t="str">
        <f>Specification!C30</f>
        <v>Size of dosing</v>
      </c>
      <c r="D29" s="40">
        <f>Specification!D30</f>
        <v>0</v>
      </c>
      <c r="E29" s="36"/>
      <c r="F29" s="32"/>
      <c r="G29" s="86" t="str">
        <f t="shared" si="0"/>
        <v/>
      </c>
      <c r="H29" s="32"/>
    </row>
    <row r="30" spans="1:8" x14ac:dyDescent="0.25">
      <c r="A30" s="37">
        <f>Specification!B31</f>
        <v>31</v>
      </c>
      <c r="B30" s="38" t="str">
        <f>Specification!E31</f>
        <v/>
      </c>
      <c r="C30" s="39" t="str">
        <f>Specification!C31</f>
        <v>Number of samples for averaging</v>
      </c>
      <c r="D30" s="40">
        <f>Specification!D31</f>
        <v>0</v>
      </c>
      <c r="E30" s="36"/>
      <c r="F30" s="32"/>
      <c r="G30" s="86" t="str">
        <f t="shared" si="0"/>
        <v/>
      </c>
      <c r="H30" s="32"/>
    </row>
    <row r="31" spans="1:8" x14ac:dyDescent="0.25">
      <c r="A31" s="37">
        <f>Specification!B32</f>
        <v>32</v>
      </c>
      <c r="B31" s="38" t="str">
        <f>Specification!E32</f>
        <v/>
      </c>
      <c r="C31" s="39" t="str">
        <f>Specification!C32</f>
        <v>Displayed units</v>
      </c>
      <c r="D31" s="40">
        <f>Specification!D32</f>
        <v>0</v>
      </c>
      <c r="E31" s="36"/>
      <c r="F31" s="32"/>
      <c r="G31" s="86" t="str">
        <f t="shared" si="0"/>
        <v/>
      </c>
      <c r="H31" s="32"/>
    </row>
    <row r="32" spans="1:8" x14ac:dyDescent="0.25">
      <c r="A32" s="37">
        <f>Specification!B33</f>
        <v>33</v>
      </c>
      <c r="B32" s="38" t="str">
        <f>Specification!E33</f>
        <v/>
      </c>
      <c r="C32" s="39" t="str">
        <f>Specification!C33</f>
        <v>Pulse number</v>
      </c>
      <c r="D32" s="40">
        <f>Specification!D33</f>
        <v>0</v>
      </c>
      <c r="E32" s="36"/>
      <c r="F32" s="32"/>
      <c r="G32" s="86" t="str">
        <f t="shared" si="0"/>
        <v/>
      </c>
      <c r="H32" s="32"/>
    </row>
    <row r="33" spans="1:8" x14ac:dyDescent="0.25">
      <c r="A33" s="37">
        <f>Specification!B34</f>
        <v>34</v>
      </c>
      <c r="B33" s="38" t="str">
        <f>Specification!E34</f>
        <v/>
      </c>
      <c r="C33" s="39" t="str">
        <f>Specification!C34</f>
        <v>Units of pulse number</v>
      </c>
      <c r="D33" s="40">
        <f>Specification!D34</f>
        <v>0</v>
      </c>
      <c r="E33" s="36"/>
      <c r="F33" s="32"/>
      <c r="G33" s="86" t="str">
        <f t="shared" si="0"/>
        <v/>
      </c>
      <c r="H33" s="32"/>
    </row>
    <row r="34" spans="1:8" x14ac:dyDescent="0.25">
      <c r="A34" s="37">
        <f>Specification!B35</f>
        <v>35</v>
      </c>
      <c r="B34" s="38" t="str">
        <f>Specification!E35</f>
        <v/>
      </c>
      <c r="C34" s="39" t="str">
        <f>Specification!C35</f>
        <v>Items selection in configuration menu</v>
      </c>
      <c r="D34" s="40">
        <f>Specification!D35</f>
        <v>0</v>
      </c>
      <c r="E34" s="36"/>
      <c r="F34" s="32"/>
      <c r="G34" s="86" t="str">
        <f t="shared" si="0"/>
        <v/>
      </c>
      <c r="H34" s="32"/>
    </row>
    <row r="35" spans="1:8" x14ac:dyDescent="0.25">
      <c r="A35" s="37">
        <f>Specification!B36</f>
        <v>36</v>
      </c>
      <c r="B35" s="38" t="str">
        <f>Specification!E36</f>
        <v/>
      </c>
      <c r="C35" s="39" t="str">
        <f>Specification!C36</f>
        <v>Activation of errors</v>
      </c>
      <c r="D35" s="40">
        <f>Specification!D36</f>
        <v>0</v>
      </c>
      <c r="E35" s="36"/>
      <c r="F35" s="32"/>
      <c r="G35" s="86" t="str">
        <f t="shared" si="0"/>
        <v/>
      </c>
      <c r="H35" s="32"/>
    </row>
    <row r="36" spans="1:8" x14ac:dyDescent="0.25">
      <c r="A36" s="37">
        <f>Specification!B37</f>
        <v>37</v>
      </c>
      <c r="B36" s="38" t="str">
        <f>Specification!E37</f>
        <v/>
      </c>
      <c r="C36" s="39" t="str">
        <f>Specification!C37</f>
        <v>Current output Flow rate for Imax=Q4</v>
      </c>
      <c r="D36" s="40">
        <f>Specification!D37</f>
        <v>0</v>
      </c>
      <c r="E36" s="36"/>
      <c r="F36" s="32"/>
      <c r="G36" s="86" t="str">
        <f t="shared" si="0"/>
        <v/>
      </c>
      <c r="H36" s="32"/>
    </row>
    <row r="37" spans="1:8" x14ac:dyDescent="0.25">
      <c r="A37" s="37">
        <f>Specification!B38</f>
        <v>38</v>
      </c>
      <c r="B37" s="38" t="str">
        <f>Specification!E38</f>
        <v/>
      </c>
      <c r="C37" s="39" t="str">
        <f>Specification!C38</f>
        <v>Output OUT 1 functions</v>
      </c>
      <c r="D37" s="40">
        <f>Specification!D38</f>
        <v>0</v>
      </c>
      <c r="E37" s="36"/>
      <c r="F37" s="32"/>
      <c r="G37" s="86" t="str">
        <f t="shared" si="0"/>
        <v/>
      </c>
      <c r="H37" s="32"/>
    </row>
    <row r="38" spans="1:8" x14ac:dyDescent="0.25">
      <c r="A38" s="37">
        <f>Specification!B39</f>
        <v>39</v>
      </c>
      <c r="B38" s="38" t="str">
        <f>Specification!E39</f>
        <v/>
      </c>
      <c r="C38" s="39" t="str">
        <f>Specification!C39</f>
        <v>Output OUT 2 functions</v>
      </c>
      <c r="D38" s="40">
        <f>Specification!D39</f>
        <v>0</v>
      </c>
      <c r="E38" s="36"/>
      <c r="F38" s="32"/>
      <c r="G38" s="86" t="str">
        <f t="shared" si="0"/>
        <v/>
      </c>
      <c r="H38" s="32"/>
    </row>
    <row r="39" spans="1:8" x14ac:dyDescent="0.25">
      <c r="A39" s="37">
        <f>Specification!B40</f>
        <v>40</v>
      </c>
      <c r="B39" s="38" t="str">
        <f>Specification!E40</f>
        <v/>
      </c>
      <c r="C39" s="39" t="str">
        <f>Specification!C40</f>
        <v>Relay function</v>
      </c>
      <c r="D39" s="40">
        <f>Specification!D40</f>
        <v>0</v>
      </c>
      <c r="E39" s="36"/>
      <c r="F39" s="32"/>
      <c r="G39" s="86" t="str">
        <f t="shared" si="0"/>
        <v/>
      </c>
      <c r="H39" s="32"/>
    </row>
    <row r="40" spans="1:8" x14ac:dyDescent="0.25">
      <c r="A40" s="37">
        <f>Specification!B41</f>
        <v>41</v>
      </c>
      <c r="B40" s="38" t="str">
        <f>Specification!E41</f>
        <v/>
      </c>
      <c r="C40" s="39" t="str">
        <f>Specification!C41</f>
        <v>Electrode cleaning</v>
      </c>
      <c r="D40" s="40">
        <f>Specification!D41</f>
        <v>0</v>
      </c>
      <c r="E40" s="36"/>
      <c r="F40" s="32"/>
      <c r="G40" s="86" t="str">
        <f t="shared" si="0"/>
        <v/>
      </c>
      <c r="H40" s="32"/>
    </row>
    <row r="41" spans="1:8" x14ac:dyDescent="0.25">
      <c r="A41" s="37">
        <f>Specification!B42</f>
        <v>42</v>
      </c>
      <c r="B41" s="38" t="str">
        <f>Specification!E42</f>
        <v/>
      </c>
      <c r="C41" s="39" t="str">
        <f>Specification!C42</f>
        <v>User language</v>
      </c>
      <c r="D41" s="40">
        <f>Specification!D42</f>
        <v>0</v>
      </c>
      <c r="E41" s="36"/>
      <c r="F41" s="32"/>
      <c r="G41" s="86" t="str">
        <f t="shared" si="0"/>
        <v/>
      </c>
      <c r="H41" s="32"/>
    </row>
    <row r="42" spans="1:8" x14ac:dyDescent="0.25">
      <c r="A42" s="37" t="str">
        <f>Specification!B43</f>
        <v xml:space="preserve"> - </v>
      </c>
      <c r="B42" s="38" t="str">
        <f>Specification!E43</f>
        <v>-</v>
      </c>
      <c r="C42" s="39" t="str">
        <f>Specification!C43</f>
        <v>COMMUNICATION SETTINGS</v>
      </c>
      <c r="D42" s="40" t="str">
        <f>Specification!D43</f>
        <v xml:space="preserve"> - </v>
      </c>
      <c r="E42" s="36"/>
      <c r="F42" s="32"/>
      <c r="G42" s="86" t="str">
        <f t="shared" si="0"/>
        <v/>
      </c>
      <c r="H42" s="32"/>
    </row>
    <row r="43" spans="1:8" x14ac:dyDescent="0.25">
      <c r="A43" s="37">
        <f>Specification!B44</f>
        <v>44</v>
      </c>
      <c r="B43" s="38" t="str">
        <f>Specification!E44</f>
        <v/>
      </c>
      <c r="C43" s="39" t="str">
        <f>Specification!C44</f>
        <v>Interface</v>
      </c>
      <c r="D43" s="40">
        <f>Specification!D44</f>
        <v>0</v>
      </c>
      <c r="E43" s="36"/>
      <c r="F43" s="32"/>
      <c r="G43" s="86" t="str">
        <f t="shared" si="0"/>
        <v/>
      </c>
      <c r="H43" s="32"/>
    </row>
    <row r="44" spans="1:8" x14ac:dyDescent="0.25">
      <c r="A44" s="37">
        <f>Specification!B45</f>
        <v>45</v>
      </c>
      <c r="B44" s="38" t="str">
        <f>TEXT(Specification!E45,"000")</f>
        <v/>
      </c>
      <c r="C44" s="39" t="str">
        <f>Specification!C45</f>
        <v>Address-put down from the range 1 to 255</v>
      </c>
      <c r="D44" s="40">
        <f>Specification!D45</f>
        <v>0</v>
      </c>
      <c r="E44" s="36"/>
      <c r="F44" s="32"/>
      <c r="G44" s="86" t="str">
        <f t="shared" si="0"/>
        <v/>
      </c>
      <c r="H44" s="32"/>
    </row>
    <row r="45" spans="1:8" x14ac:dyDescent="0.25">
      <c r="A45" s="37">
        <f>Specification!B46</f>
        <v>46</v>
      </c>
      <c r="B45" s="38" t="str">
        <f>TEXT(Specification!E46,"000")</f>
        <v/>
      </c>
      <c r="C45" s="39" t="str">
        <f>Specification!C46</f>
        <v>Group - specify from 1 to 255</v>
      </c>
      <c r="D45" s="40">
        <f>Specification!D46</f>
        <v>0</v>
      </c>
      <c r="E45" s="36"/>
      <c r="F45" s="32"/>
      <c r="G45" s="86" t="str">
        <f t="shared" si="0"/>
        <v/>
      </c>
      <c r="H45" s="32"/>
    </row>
    <row r="46" spans="1:8" x14ac:dyDescent="0.25">
      <c r="A46" s="37">
        <f>Specification!B47</f>
        <v>47</v>
      </c>
      <c r="B46" s="38" t="str">
        <f>Specification!E47</f>
        <v/>
      </c>
      <c r="C46" s="39" t="str">
        <f>Specification!C47</f>
        <v>Baud rate</v>
      </c>
      <c r="D46" s="40">
        <f>Specification!D47</f>
        <v>0</v>
      </c>
      <c r="E46" s="36"/>
      <c r="F46" s="32"/>
      <c r="G46" s="86" t="str">
        <f t="shared" si="0"/>
        <v/>
      </c>
      <c r="H46" s="32"/>
    </row>
    <row r="47" spans="1:8" x14ac:dyDescent="0.25">
      <c r="A47" s="37">
        <f>Specification!B48</f>
        <v>48</v>
      </c>
      <c r="B47" s="38" t="str">
        <f>Specification!E48</f>
        <v/>
      </c>
      <c r="C47" s="39" t="str">
        <f>Specification!C48</f>
        <v>Parity</v>
      </c>
      <c r="D47" s="40">
        <f>Specification!D48</f>
        <v>0</v>
      </c>
      <c r="E47" s="36"/>
      <c r="F47" s="32"/>
      <c r="G47" s="86" t="str">
        <f t="shared" si="0"/>
        <v/>
      </c>
      <c r="H47" s="32"/>
    </row>
    <row r="48" spans="1:8" x14ac:dyDescent="0.25">
      <c r="A48" s="37" t="str">
        <f>Specification!B49</f>
        <v xml:space="preserve"> - </v>
      </c>
      <c r="B48" s="38" t="str">
        <f>Specification!E49</f>
        <v>-</v>
      </c>
      <c r="C48" s="39" t="str">
        <f>Specification!C49</f>
        <v>CALIBRATION</v>
      </c>
      <c r="D48" s="40" t="str">
        <f>Specification!D49</f>
        <v xml:space="preserve"> - </v>
      </c>
      <c r="E48" s="36"/>
      <c r="F48" s="32"/>
      <c r="G48" s="86" t="str">
        <f t="shared" si="0"/>
        <v/>
      </c>
      <c r="H48" s="32"/>
    </row>
    <row r="49" spans="1:8" x14ac:dyDescent="0.25">
      <c r="A49" s="37">
        <f>Specification!B50</f>
        <v>50</v>
      </c>
      <c r="B49" s="38" t="str">
        <f>Specification!E50</f>
        <v/>
      </c>
      <c r="C49" s="39" t="str">
        <f>Specification!C50</f>
        <v>Calibration</v>
      </c>
      <c r="D49" s="40">
        <f>Specification!D50</f>
        <v>0</v>
      </c>
      <c r="E49" s="36"/>
      <c r="F49" s="32"/>
      <c r="G49" s="86" t="str">
        <f t="shared" si="0"/>
        <v/>
      </c>
      <c r="H49" s="32"/>
    </row>
    <row r="50" spans="1:8" x14ac:dyDescent="0.25">
      <c r="A50" s="37" t="str">
        <f>Specification!B51</f>
        <v xml:space="preserve"> - </v>
      </c>
      <c r="B50" s="38" t="str">
        <f>Specification!E51</f>
        <v>-</v>
      </c>
      <c r="C50" s="39" t="str">
        <f>Specification!C51</f>
        <v>PURCHASE CONDITIONS</v>
      </c>
      <c r="D50" s="40" t="str">
        <f>Specification!D51</f>
        <v xml:space="preserve"> - </v>
      </c>
      <c r="E50" s="36"/>
      <c r="F50" s="32"/>
      <c r="G50" s="86" t="str">
        <f t="shared" si="0"/>
        <v/>
      </c>
      <c r="H50" s="32"/>
    </row>
    <row r="51" spans="1:8" x14ac:dyDescent="0.25">
      <c r="A51" s="37">
        <f>Specification!B52</f>
        <v>52</v>
      </c>
      <c r="B51" s="38" t="str">
        <f>TEXT(Specification!E52,"000")</f>
        <v/>
      </c>
      <c r="C51" s="39" t="str">
        <f>Specification!C52</f>
        <v>Number of peaces</v>
      </c>
      <c r="D51" s="40">
        <f>Specification!D52</f>
        <v>0</v>
      </c>
      <c r="E51" s="36"/>
      <c r="F51" s="32"/>
      <c r="G51" s="86" t="str">
        <f t="shared" si="0"/>
        <v/>
      </c>
      <c r="H51" s="32"/>
    </row>
    <row r="52" spans="1:8" x14ac:dyDescent="0.25">
      <c r="A52" s="37">
        <f>Specification!B53</f>
        <v>53</v>
      </c>
      <c r="B52" s="38" t="str">
        <f>Specification!E53</f>
        <v/>
      </c>
      <c r="C52" s="39" t="str">
        <f>Specification!C53</f>
        <v>Packaging</v>
      </c>
      <c r="D52" s="40">
        <f>Specification!D53</f>
        <v>0</v>
      </c>
      <c r="E52" s="36"/>
      <c r="F52" s="32"/>
      <c r="G52" s="86" t="str">
        <f t="shared" si="0"/>
        <v/>
      </c>
      <c r="H52" s="32"/>
    </row>
    <row r="53" spans="1:8" x14ac:dyDescent="0.25">
      <c r="A53" s="37">
        <f>Specification!B54</f>
        <v>54</v>
      </c>
      <c r="B53" s="38" t="str">
        <f>Specification!E54</f>
        <v/>
      </c>
      <c r="C53" s="39" t="str">
        <f>Specification!C54</f>
        <v>Delivery</v>
      </c>
      <c r="D53" s="40">
        <f>Specification!D54</f>
        <v>0</v>
      </c>
      <c r="E53" s="36"/>
      <c r="F53" s="32"/>
      <c r="G53" s="86" t="str">
        <f t="shared" si="0"/>
        <v/>
      </c>
      <c r="H53" s="32"/>
    </row>
    <row r="54" spans="1:8" x14ac:dyDescent="0.25">
      <c r="A54" s="37">
        <f>Specification!B55</f>
        <v>55</v>
      </c>
      <c r="B54" s="38" t="str">
        <f>Specification!E55</f>
        <v/>
      </c>
      <c r="C54" s="39" t="str">
        <f>Specification!C55</f>
        <v>Warranty</v>
      </c>
      <c r="D54" s="40">
        <f>Specification!D55</f>
        <v>0</v>
      </c>
      <c r="E54" s="36"/>
      <c r="F54" s="32"/>
      <c r="G54" s="86" t="str">
        <f t="shared" si="0"/>
        <v/>
      </c>
      <c r="H54" s="32"/>
    </row>
    <row r="55" spans="1:8" x14ac:dyDescent="0.25">
      <c r="A55" s="37" t="str">
        <f>Specification!B56</f>
        <v xml:space="preserve"> - </v>
      </c>
      <c r="B55" s="38" t="str">
        <f>Specification!E56</f>
        <v>-</v>
      </c>
      <c r="C55" s="39" t="str">
        <f>Specification!C56</f>
        <v>RELATED REGULATIONS</v>
      </c>
      <c r="D55" s="40" t="str">
        <f>Specification!D56</f>
        <v xml:space="preserve"> - </v>
      </c>
      <c r="G55" s="86" t="str">
        <f t="shared" si="0"/>
        <v/>
      </c>
    </row>
    <row r="56" spans="1:8" x14ac:dyDescent="0.25">
      <c r="A56" s="37">
        <f>Specification!B57</f>
        <v>57</v>
      </c>
      <c r="B56" s="38">
        <f>Specification!E57</f>
        <v>1</v>
      </c>
      <c r="C56" s="39" t="str">
        <f>Specification!C57</f>
        <v>Number of manual flowmeter</v>
      </c>
      <c r="D56" s="40" t="str">
        <f>Specification!D57</f>
        <v>Es90420K/c</v>
      </c>
      <c r="G56" s="87" t="str">
        <f t="shared" si="0"/>
        <v/>
      </c>
    </row>
  </sheetData>
  <sheetProtection algorithmName="SHA-512" hashValue="flGlp6KSc+00KAwD2Eup2nFfhDsXOMUiipJU51/dCxAZ9flN2QADWsvxeLNGfOvadtYrBc7r822efWzU8YlWBw==" saltValue="kZvofBhBhkwo18cIFezcs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B1:L31"/>
  <sheetViews>
    <sheetView showGridLines="0" topLeftCell="A7" zoomScaleNormal="100" workbookViewId="0">
      <selection activeCell="D34" sqref="D34"/>
    </sheetView>
  </sheetViews>
  <sheetFormatPr defaultRowHeight="15" x14ac:dyDescent="0.25"/>
  <cols>
    <col min="1" max="1" width="1.5703125" customWidth="1"/>
    <col min="2" max="2" width="11.5703125" customWidth="1"/>
    <col min="3" max="6" width="17.28515625" customWidth="1"/>
    <col min="7" max="7" width="2.7109375" customWidth="1"/>
    <col min="8" max="8" width="14.140625" customWidth="1"/>
    <col min="9" max="12" width="17.28515625" customWidth="1"/>
  </cols>
  <sheetData>
    <row r="1" spans="2:12" ht="23.25" x14ac:dyDescent="0.35">
      <c r="B1" s="55" t="s">
        <v>233</v>
      </c>
    </row>
    <row r="2" spans="2:12" x14ac:dyDescent="0.25">
      <c r="B2" t="s">
        <v>234</v>
      </c>
    </row>
    <row r="4" spans="2:12" ht="16.5" thickBot="1" x14ac:dyDescent="0.3">
      <c r="B4" s="62" t="s">
        <v>279</v>
      </c>
      <c r="H4" s="62" t="s">
        <v>280</v>
      </c>
    </row>
    <row r="5" spans="2:12" ht="15.75" customHeight="1" x14ac:dyDescent="0.25">
      <c r="B5" s="199"/>
      <c r="C5" s="222" t="s">
        <v>235</v>
      </c>
      <c r="D5" s="223"/>
      <c r="E5" s="223"/>
      <c r="F5" s="224"/>
      <c r="H5" s="199"/>
      <c r="I5" s="222" t="s">
        <v>239</v>
      </c>
      <c r="J5" s="223"/>
      <c r="K5" s="223"/>
      <c r="L5" s="224"/>
    </row>
    <row r="6" spans="2:12" ht="15.75" customHeight="1" thickBot="1" x14ac:dyDescent="0.3">
      <c r="B6" s="200" t="s">
        <v>236</v>
      </c>
      <c r="C6" s="225" t="s">
        <v>293</v>
      </c>
      <c r="D6" s="226"/>
      <c r="E6" s="226"/>
      <c r="F6" s="227"/>
      <c r="H6" s="200" t="s">
        <v>236</v>
      </c>
      <c r="I6" s="225" t="s">
        <v>294</v>
      </c>
      <c r="J6" s="226"/>
      <c r="K6" s="226"/>
      <c r="L6" s="227"/>
    </row>
    <row r="7" spans="2:12" ht="30.75" customHeight="1" thickBot="1" x14ac:dyDescent="0.3">
      <c r="B7" s="201" t="s">
        <v>237</v>
      </c>
      <c r="C7" s="202" t="s">
        <v>288</v>
      </c>
      <c r="D7" s="202" t="s">
        <v>295</v>
      </c>
      <c r="E7" s="203" t="s">
        <v>296</v>
      </c>
      <c r="F7" s="203" t="s">
        <v>297</v>
      </c>
      <c r="H7" s="201" t="s">
        <v>237</v>
      </c>
      <c r="I7" s="202" t="s">
        <v>288</v>
      </c>
      <c r="J7" s="202" t="s">
        <v>295</v>
      </c>
      <c r="K7" s="203" t="s">
        <v>296</v>
      </c>
      <c r="L7" s="203" t="s">
        <v>297</v>
      </c>
    </row>
    <row r="8" spans="2:12" ht="18" customHeight="1" thickTop="1" thickBot="1" x14ac:dyDescent="0.3">
      <c r="B8" s="204" t="s">
        <v>66</v>
      </c>
      <c r="C8" s="58">
        <v>38.299999999999997</v>
      </c>
      <c r="D8" s="58">
        <v>36.700000000000003</v>
      </c>
      <c r="E8" s="98" t="s">
        <v>51</v>
      </c>
      <c r="F8" s="59">
        <v>35.200000000000003</v>
      </c>
      <c r="H8" s="204" t="s">
        <v>66</v>
      </c>
      <c r="I8" s="58">
        <v>37.799999999999997</v>
      </c>
      <c r="J8" s="58">
        <v>35.6</v>
      </c>
      <c r="K8" s="98" t="s">
        <v>51</v>
      </c>
      <c r="L8" s="59">
        <v>32.700000000000003</v>
      </c>
    </row>
    <row r="9" spans="2:12" ht="18" customHeight="1" thickBot="1" x14ac:dyDescent="0.3">
      <c r="B9" s="205" t="s">
        <v>67</v>
      </c>
      <c r="C9" s="60">
        <v>15.3</v>
      </c>
      <c r="D9" s="60">
        <v>14.6</v>
      </c>
      <c r="E9" s="99" t="s">
        <v>51</v>
      </c>
      <c r="F9" s="61">
        <v>14</v>
      </c>
      <c r="H9" s="205" t="s">
        <v>67</v>
      </c>
      <c r="I9" s="60">
        <v>15.1</v>
      </c>
      <c r="J9" s="60">
        <v>14.2</v>
      </c>
      <c r="K9" s="99" t="s">
        <v>51</v>
      </c>
      <c r="L9" s="61">
        <v>13.1</v>
      </c>
    </row>
    <row r="10" spans="2:12" ht="18" customHeight="1" thickBot="1" x14ac:dyDescent="0.3">
      <c r="B10" s="205" t="s">
        <v>68</v>
      </c>
      <c r="C10" s="60">
        <v>9.5</v>
      </c>
      <c r="D10" s="60">
        <v>9.1</v>
      </c>
      <c r="E10" s="61">
        <v>9</v>
      </c>
      <c r="F10" s="61">
        <v>8.8000000000000007</v>
      </c>
      <c r="H10" s="205" t="s">
        <v>68</v>
      </c>
      <c r="I10" s="60">
        <v>9.4</v>
      </c>
      <c r="J10" s="60">
        <v>8.8000000000000007</v>
      </c>
      <c r="K10" s="61">
        <v>8.6</v>
      </c>
      <c r="L10" s="61">
        <v>8.1</v>
      </c>
    </row>
    <row r="11" spans="2:12" ht="18" customHeight="1" thickBot="1" x14ac:dyDescent="0.3">
      <c r="B11" s="205" t="s">
        <v>69</v>
      </c>
      <c r="C11" s="60">
        <v>5.5</v>
      </c>
      <c r="D11" s="60">
        <v>5.4</v>
      </c>
      <c r="E11" s="61">
        <v>5.4</v>
      </c>
      <c r="F11" s="61">
        <v>5.2</v>
      </c>
      <c r="H11" s="205" t="s">
        <v>69</v>
      </c>
      <c r="I11" s="60">
        <v>5.6</v>
      </c>
      <c r="J11" s="60">
        <v>5.3</v>
      </c>
      <c r="K11" s="61">
        <v>5.2</v>
      </c>
      <c r="L11" s="61">
        <v>4.9000000000000004</v>
      </c>
    </row>
    <row r="13" spans="2:12" ht="16.5" thickBot="1" x14ac:dyDescent="0.3">
      <c r="B13" s="62" t="s">
        <v>281</v>
      </c>
      <c r="H13" s="62" t="s">
        <v>282</v>
      </c>
    </row>
    <row r="14" spans="2:12" ht="18" customHeight="1" x14ac:dyDescent="0.25">
      <c r="B14" s="206"/>
      <c r="C14" s="222" t="s">
        <v>239</v>
      </c>
      <c r="D14" s="223"/>
      <c r="E14" s="223"/>
      <c r="F14" s="224"/>
      <c r="H14" s="199" t="s">
        <v>236</v>
      </c>
      <c r="I14" s="222" t="s">
        <v>239</v>
      </c>
      <c r="J14" s="223"/>
      <c r="K14" s="223"/>
      <c r="L14" s="224"/>
    </row>
    <row r="15" spans="2:12" ht="15.75" customHeight="1" thickBot="1" x14ac:dyDescent="0.3">
      <c r="B15" s="200" t="s">
        <v>236</v>
      </c>
      <c r="C15" s="225" t="s">
        <v>294</v>
      </c>
      <c r="D15" s="226"/>
      <c r="E15" s="226"/>
      <c r="F15" s="227"/>
      <c r="H15" s="207" t="s">
        <v>283</v>
      </c>
      <c r="I15" s="225" t="s">
        <v>294</v>
      </c>
      <c r="J15" s="226"/>
      <c r="K15" s="226"/>
      <c r="L15" s="227"/>
    </row>
    <row r="16" spans="2:12" ht="30.75" customHeight="1" thickBot="1" x14ac:dyDescent="0.3">
      <c r="B16" s="201" t="s">
        <v>237</v>
      </c>
      <c r="C16" s="202" t="s">
        <v>288</v>
      </c>
      <c r="D16" s="202" t="s">
        <v>295</v>
      </c>
      <c r="E16" s="203" t="s">
        <v>296</v>
      </c>
      <c r="F16" s="203" t="s">
        <v>297</v>
      </c>
      <c r="H16" s="201" t="s">
        <v>71</v>
      </c>
      <c r="I16" s="202" t="s">
        <v>288</v>
      </c>
      <c r="J16" s="202" t="s">
        <v>295</v>
      </c>
      <c r="K16" s="203" t="s">
        <v>296</v>
      </c>
      <c r="L16" s="203" t="s">
        <v>297</v>
      </c>
    </row>
    <row r="17" spans="2:12" ht="18" customHeight="1" thickTop="1" thickBot="1" x14ac:dyDescent="0.3">
      <c r="B17" s="204" t="s">
        <v>70</v>
      </c>
      <c r="C17" s="96">
        <v>15.9</v>
      </c>
      <c r="D17" s="58">
        <v>15.9</v>
      </c>
      <c r="E17" s="59">
        <v>15.9</v>
      </c>
      <c r="F17" s="59">
        <v>15.8</v>
      </c>
      <c r="H17" s="204" t="s">
        <v>70</v>
      </c>
      <c r="I17" s="97">
        <v>14.1</v>
      </c>
      <c r="J17" s="56">
        <v>13</v>
      </c>
      <c r="K17" s="59">
        <v>12.8</v>
      </c>
      <c r="L17" s="59">
        <v>12</v>
      </c>
    </row>
    <row r="18" spans="2:12" ht="14.25" customHeight="1" x14ac:dyDescent="0.25"/>
    <row r="19" spans="2:12" ht="16.5" thickBot="1" x14ac:dyDescent="0.3">
      <c r="B19" s="62" t="s">
        <v>289</v>
      </c>
    </row>
    <row r="20" spans="2:12" ht="17.25" customHeight="1" x14ac:dyDescent="0.25">
      <c r="B20" s="199"/>
      <c r="C20" s="208" t="s">
        <v>239</v>
      </c>
      <c r="D20" s="209"/>
      <c r="E20" s="210"/>
    </row>
    <row r="21" spans="2:12" ht="15.75" customHeight="1" thickBot="1" x14ac:dyDescent="0.3">
      <c r="B21" s="200" t="s">
        <v>236</v>
      </c>
      <c r="C21" s="211" t="s">
        <v>294</v>
      </c>
      <c r="D21" s="212"/>
      <c r="E21" s="213"/>
    </row>
    <row r="22" spans="2:12" ht="30.75" customHeight="1" thickBot="1" x14ac:dyDescent="0.3">
      <c r="B22" s="201" t="s">
        <v>237</v>
      </c>
      <c r="C22" s="214" t="s">
        <v>288</v>
      </c>
      <c r="D22" s="215" t="s">
        <v>292</v>
      </c>
      <c r="E22" s="216" t="s">
        <v>238</v>
      </c>
    </row>
    <row r="23" spans="2:12" ht="18" customHeight="1" thickTop="1" thickBot="1" x14ac:dyDescent="0.3">
      <c r="B23" s="204" t="s">
        <v>66</v>
      </c>
      <c r="C23" s="56">
        <v>40</v>
      </c>
      <c r="D23" s="56">
        <v>40</v>
      </c>
      <c r="E23" s="59">
        <v>40</v>
      </c>
    </row>
    <row r="24" spans="2:12" ht="18" customHeight="1" thickBot="1" x14ac:dyDescent="0.3">
      <c r="B24" s="205" t="s">
        <v>67</v>
      </c>
      <c r="C24" s="57">
        <v>16</v>
      </c>
      <c r="D24" s="57">
        <v>16</v>
      </c>
      <c r="E24" s="61">
        <v>16</v>
      </c>
    </row>
    <row r="26" spans="2:12" x14ac:dyDescent="0.25">
      <c r="B26" s="93" t="s">
        <v>291</v>
      </c>
      <c r="C26" s="94"/>
      <c r="D26" s="94"/>
      <c r="E26" s="94"/>
      <c r="F26" s="94"/>
      <c r="G26" s="94"/>
    </row>
    <row r="27" spans="2:12" x14ac:dyDescent="0.25">
      <c r="B27" s="221" t="s">
        <v>290</v>
      </c>
      <c r="C27" s="221"/>
      <c r="D27" s="221"/>
      <c r="E27" s="221"/>
      <c r="F27" s="221"/>
      <c r="G27" s="94"/>
    </row>
    <row r="28" spans="2:12" x14ac:dyDescent="0.25">
      <c r="B28" s="95" t="s">
        <v>299</v>
      </c>
      <c r="C28" s="94"/>
      <c r="D28" s="94"/>
      <c r="E28" s="94"/>
      <c r="F28" s="94"/>
      <c r="G28" s="94"/>
    </row>
    <row r="29" spans="2:12" x14ac:dyDescent="0.25">
      <c r="B29" s="95" t="s">
        <v>300</v>
      </c>
      <c r="C29" s="94"/>
      <c r="D29" s="94"/>
      <c r="E29" s="94"/>
      <c r="F29" s="94"/>
      <c r="G29" s="94"/>
    </row>
    <row r="30" spans="2:12" x14ac:dyDescent="0.25">
      <c r="B30" s="95" t="s">
        <v>298</v>
      </c>
      <c r="C30" s="94"/>
      <c r="D30" s="94"/>
      <c r="E30" s="94"/>
      <c r="F30" s="94"/>
      <c r="G30" s="94"/>
    </row>
    <row r="31" spans="2:12" x14ac:dyDescent="0.25">
      <c r="B31" s="95"/>
      <c r="C31" s="94"/>
      <c r="D31" s="94"/>
      <c r="E31" s="94"/>
      <c r="F31" s="94"/>
      <c r="G31" s="94"/>
    </row>
  </sheetData>
  <sheetProtection algorithmName="SHA-512" hashValue="m77RJ5IaGVH5g4bHbMFb0NdC1VP6liR3nHMXI6X8oxwDkPbtW4FoIPx30dzwD5tH3EcpG96T5rZyZS8rjskoPw==" saltValue="cokbjhQg73V024y0KdyEzA==" spinCount="100000" sheet="1" objects="1" scenarios="1" selectLockedCells="1"/>
  <mergeCells count="9">
    <mergeCell ref="B27:F27"/>
    <mergeCell ref="C5:F5"/>
    <mergeCell ref="I5:L5"/>
    <mergeCell ref="C6:F6"/>
    <mergeCell ref="I6:L6"/>
    <mergeCell ref="C14:F14"/>
    <mergeCell ref="I14:L14"/>
    <mergeCell ref="C15:F15"/>
    <mergeCell ref="I15:L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53</vt:i4>
      </vt:variant>
    </vt:vector>
  </HeadingPairs>
  <TitlesOfParts>
    <vt:vector size="57" baseType="lpstr">
      <vt:lpstr>Specification</vt:lpstr>
      <vt:lpstr>Data</vt:lpstr>
      <vt:lpstr>Tech</vt:lpstr>
      <vt:lpstr>PS max</vt:lpstr>
      <vt:lpstr>gal_m3</vt:lpstr>
      <vt:lpstr>Hodnoty</vt:lpstr>
      <vt:lpstr>HodnotyHW</vt:lpstr>
      <vt:lpstr>KodyOC</vt:lpstr>
      <vt:lpstr>KodyOC_HW</vt:lpstr>
      <vt:lpstr>NezadanHW</vt:lpstr>
      <vt:lpstr>Nezadano</vt:lpstr>
      <vt:lpstr>Specification!Oblast_tisku</vt:lpstr>
      <vt:lpstr>OC_ACH</vt:lpstr>
      <vt:lpstr>OC_B</vt:lpstr>
      <vt:lpstr>OC_CE</vt:lpstr>
      <vt:lpstr>OC_D</vt:lpstr>
      <vt:lpstr>OC_DC</vt:lpstr>
      <vt:lpstr>OC_DK</vt:lpstr>
      <vt:lpstr>OC_DM</vt:lpstr>
      <vt:lpstr>OC_DTdPED</vt:lpstr>
      <vt:lpstr>OC_FR</vt:lpstr>
      <vt:lpstr>OC_FVOUT1</vt:lpstr>
      <vt:lpstr>OC_FVOUT2</vt:lpstr>
      <vt:lpstr>OC_IC</vt:lpstr>
      <vt:lpstr>OC_INP</vt:lpstr>
      <vt:lpstr>OC_JIC</vt:lpstr>
      <vt:lpstr>OC_JT</vt:lpstr>
      <vt:lpstr>OC_JZP</vt:lpstr>
      <vt:lpstr>OC_K</vt:lpstr>
      <vt:lpstr>OC_KC</vt:lpstr>
      <vt:lpstr>OC_KdPED</vt:lpstr>
      <vt:lpstr>OC_KSE</vt:lpstr>
      <vt:lpstr>OC_MaPUC</vt:lpstr>
      <vt:lpstr>OC_MDT</vt:lpstr>
      <vt:lpstr>OC_ME</vt:lpstr>
      <vt:lpstr>OC_MPTM</vt:lpstr>
      <vt:lpstr>OC_N</vt:lpstr>
      <vt:lpstr>OC_NM</vt:lpstr>
      <vt:lpstr>OC_P</vt:lpstr>
      <vt:lpstr>OC_PC</vt:lpstr>
      <vt:lpstr>OC_PMC</vt:lpstr>
      <vt:lpstr>OC_PV_PpIQ</vt:lpstr>
      <vt:lpstr>OC_PVpP</vt:lpstr>
      <vt:lpstr>OC_R</vt:lpstr>
      <vt:lpstr>OC_RP</vt:lpstr>
      <vt:lpstr>OC_VaPP</vt:lpstr>
      <vt:lpstr>OC_VC</vt:lpstr>
      <vt:lpstr>OC_VD</vt:lpstr>
      <vt:lpstr>OC_VPvNM</vt:lpstr>
      <vt:lpstr>OC_Z</vt:lpstr>
      <vt:lpstr>OC_ZE</vt:lpstr>
      <vt:lpstr>OC_ZJ</vt:lpstr>
      <vt:lpstr>OC_ZK</vt:lpstr>
      <vt:lpstr>OC_ZP</vt:lpstr>
      <vt:lpstr>Parametry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Chvojka</dc:creator>
  <cp:lastModifiedBy>Vladimír Chvojka</cp:lastModifiedBy>
  <cp:lastPrinted>2024-01-24T11:30:59Z</cp:lastPrinted>
  <dcterms:created xsi:type="dcterms:W3CDTF">2019-05-29T08:44:12Z</dcterms:created>
  <dcterms:modified xsi:type="dcterms:W3CDTF">2024-07-18T08:56:00Z</dcterms:modified>
</cp:coreProperties>
</file>