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801B6252-71B7-4E3F-B5E9-F3FABDF05865}" xr6:coauthVersionLast="47" xr6:coauthVersionMax="47" xr10:uidLastSave="{00000000-0000-0000-0000-000000000000}"/>
  <workbookProtection workbookAlgorithmName="SHA-512" workbookHashValue="/vU47JA2qUODHR+cyIT8F2gvZTO5DRr3ZFhvB3mnZHm1hGw7vWve6HV8H/jxGvSDan6FbKIeQ4LkSwaCrMKeXA==" workbookSaltValue="7dV1UhKe8D5vd8YFCL9WGg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List1" sheetId="4" state="hidden" r:id="rId2"/>
    <sheet name="Data" sheetId="2" state="hidden" r:id="rId3"/>
    <sheet name="Tech" sheetId="3" state="hidden" r:id="rId4"/>
    <sheet name="PS max" sheetId="5" r:id="rId5"/>
    <sheet name="Impulzní čísla" sheetId="6" r:id="rId6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Data!#REF!</definedName>
    <definedName name="Hodnoty">Specifikace!$D$5:$D$48</definedName>
    <definedName name="HodnotyHW">Specifikace!$D$5:$D$21</definedName>
    <definedName name="KodyOC">Specifikace!$E$5:$E$48</definedName>
    <definedName name="KodyOC_HW">Specifikace!$E$5:$E$21</definedName>
    <definedName name="NezadanHW">Tech!$F$2</definedName>
    <definedName name="Nezadano">Tech!$F$1</definedName>
    <definedName name="_xlnm.Print_Area" localSheetId="0">Specifikace!$B$1:$E$65</definedName>
    <definedName name="OC_ACH">Data!#REF!</definedName>
    <definedName name="OC_AV">Data!#REF!</definedName>
    <definedName name="OC_B">Data!$A$258:$A$260</definedName>
    <definedName name="OC_CE">Data!#REF!</definedName>
    <definedName name="OC_D">Data!#REF!</definedName>
    <definedName name="OC_DC">Data!$A$11:$A$35</definedName>
    <definedName name="OC_DK">Data!$A$121:$A$129</definedName>
    <definedName name="OC_DM">Data!#REF!</definedName>
    <definedName name="OC_DTdPED">Data!$A$99:$A$104</definedName>
    <definedName name="OC_F4vp">Data!$A$244:$A$245</definedName>
    <definedName name="OC_FOUT1">Data!#REF!</definedName>
    <definedName name="OC_FOUT2">Data!#REF!</definedName>
    <definedName name="OC_FR">Data!#REF!</definedName>
    <definedName name="OC_H">Data!#REF!</definedName>
    <definedName name="OC_IC">Data!$A$131:$A$133</definedName>
    <definedName name="OC_INP">Data!#REF!</definedName>
    <definedName name="OC_JIC">Data!$A$136:$A$149</definedName>
    <definedName name="OC_JO">Data!$A$151:$A$164</definedName>
    <definedName name="OC_JP">Data!$A$166:$A$191</definedName>
    <definedName name="OC_JT">Data!$A$72:$A$77</definedName>
    <definedName name="OC_KC">Data!$A$65:$A$67</definedName>
    <definedName name="OC_KdPED">Data!$A$107:$A$110</definedName>
    <definedName name="OC_KPP">Data!$A$8:$A$9</definedName>
    <definedName name="OC_KSE">Data!$A$97:$A$97</definedName>
    <definedName name="OC_MaPUC">Data!$A$45:$A$48</definedName>
    <definedName name="OC_MDT">Data!$A$90:$A$91</definedName>
    <definedName name="OC_ME">Data!$A$50:$A$55</definedName>
    <definedName name="OC_MP">Data!$A$247:$A$254</definedName>
    <definedName name="OC_MPTM">Data!$A$79:$A$88</definedName>
    <definedName name="OC_MT">Data!$A$112:$A$113</definedName>
    <definedName name="OC_N">Data!$A$93:$A$95</definedName>
    <definedName name="OC_NM">Data!$A$201:$A$203</definedName>
    <definedName name="OC_PC">Data!$A$37:$A$43</definedName>
    <definedName name="OC_PMC">Data!$A$2:$A$6</definedName>
    <definedName name="OC_Prut">Data!$A$205:$A$206</definedName>
    <definedName name="OC_PVpP">Data!$A$193:$A$199</definedName>
    <definedName name="OC_R">Data!$A$229:$A$230</definedName>
    <definedName name="OC_RP">Data!$A$234:$A$242</definedName>
    <definedName name="OC_VC">Data!$A$57:$A$63</definedName>
    <definedName name="OC_VD">Data!#REF!</definedName>
    <definedName name="OC_VOUT1">Data!$A$208:$A$225</definedName>
    <definedName name="OC_VOUT2">Data!#REF!</definedName>
    <definedName name="OC_Z">Data!$A$267:$A$272</definedName>
    <definedName name="OC_ZE">Data!$A$69:$A$70</definedName>
    <definedName name="OC_ZJ">Data!#REF!</definedName>
    <definedName name="OC_ZK">Data!$A$117:$A$118</definedName>
    <definedName name="OC_Zobr">Data!#REF!</definedName>
    <definedName name="OC_ZP">Data!$A$262:$A$265</definedName>
    <definedName name="Parametry">Specifikace!$B$4:$C$49</definedName>
    <definedName name="Preddef_hodn">Data!$A$1:$B$272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D19" i="1" l="1"/>
  <c r="E13" i="1" l="1"/>
  <c r="E36" i="1"/>
  <c r="E39" i="1" s="1"/>
  <c r="E37" i="1" l="1"/>
  <c r="E38" i="1"/>
  <c r="H39" i="1" l="1"/>
  <c r="H38" i="1" l="1"/>
  <c r="H37" i="1"/>
  <c r="D48" i="1" l="1"/>
  <c r="E48" i="1" l="1"/>
  <c r="E19" i="1" l="1"/>
  <c r="E41" i="1"/>
  <c r="H41" i="1" s="1"/>
  <c r="E34" i="1"/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B26" i="3"/>
  <c r="A27" i="3"/>
  <c r="A28" i="3"/>
  <c r="A29" i="3"/>
  <c r="A30" i="3"/>
  <c r="A31" i="3"/>
  <c r="A32" i="3"/>
  <c r="A33" i="3"/>
  <c r="A34" i="3"/>
  <c r="A35" i="3"/>
  <c r="B35" i="3"/>
  <c r="A36" i="3"/>
  <c r="A37" i="3"/>
  <c r="A38" i="3"/>
  <c r="A39" i="3"/>
  <c r="B39" i="3"/>
  <c r="A40" i="3"/>
  <c r="A41" i="3"/>
  <c r="B41" i="3"/>
  <c r="A42" i="3"/>
  <c r="A43" i="3"/>
  <c r="A44" i="3"/>
  <c r="A45" i="3"/>
  <c r="A46" i="3"/>
  <c r="B46" i="3"/>
  <c r="A47" i="3"/>
  <c r="B47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B40" i="3"/>
  <c r="E18" i="1" l="1"/>
  <c r="B18" i="3" s="1"/>
  <c r="E10" i="1"/>
  <c r="B10" i="3" s="1"/>
  <c r="E8" i="1" l="1"/>
  <c r="E5" i="1"/>
  <c r="G6" i="1" l="1"/>
  <c r="G37" i="1"/>
  <c r="C9" i="1"/>
  <c r="H8" i="1"/>
  <c r="E9" i="1"/>
  <c r="H9" i="1" s="1"/>
  <c r="E27" i="1" l="1"/>
  <c r="B27" i="3" s="1"/>
  <c r="B34" i="3" l="1"/>
  <c r="E16" i="1" l="1"/>
  <c r="H16" i="1" s="1"/>
  <c r="B16" i="3" l="1"/>
  <c r="E29" i="1"/>
  <c r="B29" i="3" s="1"/>
  <c r="E24" i="1"/>
  <c r="B24" i="3" s="1"/>
  <c r="B13" i="3" l="1"/>
  <c r="D31" i="3" l="1"/>
  <c r="D32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A5" i="3"/>
  <c r="A6" i="3"/>
  <c r="A7" i="3"/>
  <c r="B7" i="3"/>
  <c r="C29" i="3"/>
  <c r="C30" i="3"/>
  <c r="C31" i="3"/>
  <c r="C32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B38" i="3"/>
  <c r="B37" i="3" l="1"/>
  <c r="B36" i="3"/>
  <c r="E33" i="1" l="1"/>
  <c r="B33" i="3" s="1"/>
  <c r="E32" i="1"/>
  <c r="B32" i="3" s="1"/>
  <c r="E31" i="1"/>
  <c r="B31" i="3" s="1"/>
  <c r="E30" i="1"/>
  <c r="B30" i="3" s="1"/>
  <c r="H28" i="1"/>
  <c r="E28" i="1" l="1"/>
  <c r="B28" i="3" s="1"/>
  <c r="E22" i="1"/>
  <c r="B22" i="3" s="1"/>
  <c r="B19" i="3"/>
  <c r="B9" i="3" l="1"/>
  <c r="E6" i="1"/>
  <c r="H13" i="1" s="1"/>
  <c r="H6" i="1" l="1"/>
  <c r="H25" i="1"/>
  <c r="E25" i="1"/>
  <c r="B25" i="3" s="1"/>
  <c r="B6" i="3"/>
  <c r="E23" i="1"/>
  <c r="B23" i="3" s="1"/>
  <c r="E15" i="1" l="1"/>
  <c r="B15" i="3" s="1"/>
  <c r="E44" i="1" l="1"/>
  <c r="B43" i="3" s="1"/>
  <c r="H40" i="1" l="1"/>
  <c r="E43" i="1"/>
  <c r="B42" i="3" s="1"/>
  <c r="H15" i="1" l="1"/>
  <c r="G8" i="1"/>
  <c r="C9" i="3"/>
  <c r="G12" i="1"/>
  <c r="B8" i="3"/>
  <c r="G15" i="1"/>
  <c r="G16" i="1"/>
  <c r="E20" i="1" l="1"/>
  <c r="E11" i="1"/>
  <c r="H21" i="1" l="1"/>
  <c r="B20" i="3"/>
  <c r="H24" i="1"/>
  <c r="B11" i="3"/>
  <c r="E21" i="1"/>
  <c r="B21" i="3" s="1"/>
  <c r="G7" i="3"/>
  <c r="A8" i="3"/>
  <c r="A9" i="3"/>
  <c r="G25" i="3"/>
  <c r="G41" i="3"/>
  <c r="G47" i="3"/>
  <c r="G43" i="3" l="1"/>
  <c r="G37" i="3"/>
  <c r="E14" i="1" l="1"/>
  <c r="B14" i="3" s="1"/>
  <c r="H14" i="1" l="1"/>
  <c r="G24" i="1"/>
  <c r="E17" i="1"/>
  <c r="B17" i="3" s="1"/>
  <c r="G17" i="3" l="1"/>
  <c r="G23" i="3"/>
  <c r="G22" i="3" l="1"/>
  <c r="G21" i="3" l="1"/>
  <c r="G20" i="3"/>
  <c r="G40" i="3" l="1"/>
  <c r="G46" i="3"/>
  <c r="E12" i="1"/>
  <c r="H12" i="1" s="1"/>
  <c r="B12" i="3" l="1"/>
  <c r="G12" i="3" s="1"/>
  <c r="G10" i="3"/>
  <c r="G13" i="3"/>
  <c r="G11" i="3"/>
  <c r="G24" i="3" l="1"/>
  <c r="D5" i="3"/>
  <c r="C5" i="3"/>
  <c r="E46" i="1" l="1"/>
  <c r="B45" i="3" s="1"/>
  <c r="E45" i="1"/>
  <c r="B44" i="3" s="1"/>
  <c r="G44" i="3" s="1"/>
  <c r="F1" i="3" l="1"/>
  <c r="G45" i="3"/>
  <c r="G36" i="3"/>
  <c r="G19" i="3"/>
  <c r="G16" i="3"/>
  <c r="C52" i="1" l="1"/>
  <c r="G29" i="3"/>
  <c r="G15" i="3"/>
  <c r="F2" i="3"/>
  <c r="D53" i="1" s="1"/>
  <c r="G42" i="3"/>
  <c r="G35" i="3"/>
  <c r="G26" i="3"/>
  <c r="G31" i="3"/>
  <c r="G38" i="3"/>
  <c r="G30" i="3"/>
  <c r="G34" i="3"/>
  <c r="G18" i="3"/>
  <c r="G27" i="3"/>
  <c r="G39" i="3"/>
  <c r="G28" i="3"/>
  <c r="G14" i="3"/>
  <c r="G32" i="3" l="1"/>
  <c r="G33" i="3"/>
  <c r="G9" i="3"/>
  <c r="G8" i="3" l="1"/>
  <c r="G6" i="3"/>
  <c r="B5" i="3"/>
  <c r="I54" i="1" s="1"/>
  <c r="C53" i="1" l="1"/>
  <c r="G5" i="3"/>
  <c r="H1" i="3" s="1"/>
  <c r="G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Indukční průtokoměr FLONET FN50xx.1 </t>
        </r>
        <r>
          <rPr>
            <sz val="9"/>
            <color indexed="81"/>
            <rFont val="Tahoma"/>
            <family val="2"/>
            <charset val="238"/>
          </rPr>
          <t xml:space="preserve">je měřidlo objemového průtoku vodivých kapalin v uzavřeném potrubí. Umožňuje  měření průtoku s vysokou přesností v širokém pásmu rychlostí proudění (0,05 - 10 m/s).
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Dimenze ~  max. průtok (při rychlosti v = 10 m/s) 
U přírub AWWA je uvedená dimenze (DN700 a větší) pouze oriantační. Norma AWWA přesné rozměry nedefinuje.</t>
        </r>
      </text>
    </comment>
    <comment ref="D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 bezpřírubového provedení, zde uveďte typ protipřírub na vašem potrubí 
(tj. mezi jaké příruby bude čidlo vloženo)!
</t>
        </r>
      </text>
    </comment>
    <comment ref="D1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Standardní kombinace jmenovitých tlaků a dimenzí:
PN 25  ~  DN 6 až 10
PN 40  ~  DN 15 až 50
PN 16  ~  DN 65 až 200
PN 10  ~  DN 250 až 700
PN 6    ~  DN 800</t>
        </r>
      </text>
    </comment>
    <comment ref="D1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Maximální dovolený tlak (PS max) závisí na: 
Typu a materiálu přírub, max. dovolené teplotě (TS max) a na jmenovitém tlaku (PN).
</t>
        </r>
      </text>
    </comment>
    <comment ref="D2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Tento údaj nemá předdefinované hodnoty.
Uveďte co nejpřesnější popis.</t>
        </r>
      </text>
    </comment>
    <comment ref="D27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Viz záložka Impulzní čísla</t>
        </r>
      </text>
    </comment>
    <comment ref="D3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7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4</t>
        </r>
        <r>
          <rPr>
            <sz val="9"/>
            <color indexed="81"/>
            <rFont val="Tahoma"/>
            <family val="2"/>
            <charset val="238"/>
          </rPr>
          <t xml:space="preserve"> = </t>
        </r>
        <r>
          <rPr>
            <b/>
            <sz val="9"/>
            <color indexed="81"/>
            <rFont val="Tahoma"/>
            <family val="2"/>
            <charset val="238"/>
          </rPr>
          <t>standardní adresa</t>
        </r>
      </text>
    </comment>
    <comment ref="D38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C3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Příslušenství:</t>
        </r>
        <r>
          <rPr>
            <sz val="9"/>
            <color indexed="81"/>
            <rFont val="Tahoma"/>
            <family val="2"/>
            <charset val="238"/>
          </rPr>
          <t xml:space="preserve">
Převodník USB/RS-485,
připojovací kabely,
uživatelská příručka.</t>
        </r>
      </text>
    </comment>
    <comment ref="D3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Prostřednictvím programu FLOSET lze průtokoměr připojit k počítači (PC, notebook, tablet), na kterém je nainstalován Windows 7 a vyšší (nebo Linux, iOS) s JAVA 8u40 a vyšší.</t>
        </r>
      </text>
    </comment>
    <comment ref="D49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ELIS, v případě že výrobek je uveden v DB IS Helios.</t>
        </r>
      </text>
    </comment>
    <comment ref="C56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Dlouhý nerez komínek =&gt; užití do 150 °C</t>
        </r>
      </text>
    </comment>
    <comment ref="A5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Dlouhý nerez komínek =&gt; užití do 150 °C</t>
        </r>
      </text>
    </comment>
    <comment ref="A32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3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97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06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20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5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00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A220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27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B249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250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252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253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<sst xmlns="http://schemas.openxmlformats.org/spreadsheetml/2006/main" count="677" uniqueCount="411">
  <si>
    <t>-</t>
  </si>
  <si>
    <t>Provedení měřicího čidla</t>
  </si>
  <si>
    <t>TECHNICKÉ PARAMETRY</t>
  </si>
  <si>
    <t>ČSN EN 1092-1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</si>
  <si>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</si>
  <si>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</si>
  <si>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</si>
  <si>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</si>
  <si>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</si>
  <si>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</si>
  <si>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</si>
  <si>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</si>
  <si>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</si>
  <si>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</si>
  <si>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</si>
  <si>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</si>
  <si>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</si>
  <si>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</si>
  <si>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</si>
  <si>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</si>
  <si>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</si>
  <si>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</si>
  <si>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</si>
  <si>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</si>
  <si>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</si>
  <si>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</si>
  <si>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</si>
  <si>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</si>
  <si>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</si>
  <si>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</si>
  <si>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Nestandardní</t>
  </si>
  <si>
    <t>Kód OČ</t>
  </si>
  <si>
    <t>Objednací číslo</t>
  </si>
  <si>
    <t>Výstelka čidla</t>
  </si>
  <si>
    <t>Krytí čidla</t>
  </si>
  <si>
    <t>Příruby čidla</t>
  </si>
  <si>
    <t>Materiál a povrchová úprava čidla</t>
  </si>
  <si>
    <t>Nerezová ocel 1.4571</t>
  </si>
  <si>
    <t>Hastelloy C-276</t>
  </si>
  <si>
    <t>Tantal</t>
  </si>
  <si>
    <t>Pol.</t>
  </si>
  <si>
    <t>Napájení</t>
  </si>
  <si>
    <t>Ne</t>
  </si>
  <si>
    <t>NASTAVENÍ PRŮTOKOMĚRU</t>
  </si>
  <si>
    <t>1</t>
  </si>
  <si>
    <t>Necitlivost měření</t>
  </si>
  <si>
    <t>Počet vzorků pro průměrování</t>
  </si>
  <si>
    <t>l/s</t>
  </si>
  <si>
    <t>l/min</t>
  </si>
  <si>
    <t>Není požadováno</t>
  </si>
  <si>
    <t>Není požadován</t>
  </si>
  <si>
    <t>Není nabízena ze seznamu</t>
  </si>
  <si>
    <t>1 200 Bd</t>
  </si>
  <si>
    <t>2 400 Bd</t>
  </si>
  <si>
    <t>4 800 Bd</t>
  </si>
  <si>
    <t>19 200 Bd</t>
  </si>
  <si>
    <t>38 400 Bd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</si>
  <si>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</si>
  <si>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</si>
  <si>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</si>
  <si>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</si>
  <si>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</si>
  <si>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</si>
  <si>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</si>
  <si>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</si>
  <si>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</si>
  <si>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</si>
  <si>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</si>
  <si>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</si>
  <si>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</si>
  <si>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</si>
  <si>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</si>
  <si>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</si>
  <si>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</si>
  <si>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</si>
  <si>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</si>
  <si>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</si>
  <si>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>Dimenze čidla  ~  maximální průtok</t>
  </si>
  <si>
    <t xml:space="preserve">Nestandardní parametry - souhrn: </t>
  </si>
  <si>
    <t>Materiál elektrod</t>
  </si>
  <si>
    <t>PVDF (-20 ÷ +120 °C, DN6 ÷ DN10)</t>
  </si>
  <si>
    <t>10 m</t>
  </si>
  <si>
    <t>15 m</t>
  </si>
  <si>
    <t>30 m</t>
  </si>
  <si>
    <t>40 m</t>
  </si>
  <si>
    <t>50 m</t>
  </si>
  <si>
    <t>50 °C</t>
  </si>
  <si>
    <t>80 °C</t>
  </si>
  <si>
    <t>130 °C</t>
  </si>
  <si>
    <t>90 °C</t>
  </si>
  <si>
    <t>150 °C</t>
  </si>
  <si>
    <t>PN 6</t>
  </si>
  <si>
    <t>PN 10</t>
  </si>
  <si>
    <t>PED není požadováno</t>
  </si>
  <si>
    <t>Kapaliny skupiny 1 definované v čl. 4 odd. 1. C) ii) PED</t>
  </si>
  <si>
    <t>Kapaliny skupiny 2 definované v čl. 4 odd. 1. C) ii) PED</t>
  </si>
  <si>
    <t>Plyny skupiny 1 definované v čl. 4 odd. 1. C) i) PED</t>
  </si>
  <si>
    <t>Plyny skupiny 2 definované v čl. 4 odd. 1. C) i) PED</t>
  </si>
  <si>
    <t>Druh tekutiny dle PED 2014/68/EU</t>
  </si>
  <si>
    <t>Popis měřené tekutiny</t>
  </si>
  <si>
    <t>Kategorie dle PED 2014/68/EU</t>
  </si>
  <si>
    <t>Délka kabelů</t>
  </si>
  <si>
    <t>SEP (PED 0)</t>
  </si>
  <si>
    <t>PED I</t>
  </si>
  <si>
    <t>PED II</t>
  </si>
  <si>
    <t>PED III</t>
  </si>
  <si>
    <t>Není nabízen ze seznamu</t>
  </si>
  <si>
    <t>Evidenční číslo manuálu průtokoměru</t>
  </si>
  <si>
    <t>Doporučená hodnota</t>
  </si>
  <si>
    <t>Chybové hlášení / poznámka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</si>
  <si>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</si>
  <si>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</si>
  <si>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Zemnicí kroužky</t>
  </si>
  <si>
    <t>Bez zemnicích kroužků</t>
  </si>
  <si>
    <t>ANO</t>
  </si>
  <si>
    <t>Impulzní číslo</t>
  </si>
  <si>
    <t>Jednotky impulzního čísla</t>
  </si>
  <si>
    <t>Firma</t>
  </si>
  <si>
    <t>Číslo položky v poptávce/objednávce</t>
  </si>
  <si>
    <t>Vystavil - jméno a příjmení</t>
  </si>
  <si>
    <t>Počet kusů</t>
  </si>
  <si>
    <t>00</t>
  </si>
  <si>
    <t>Pozice</t>
  </si>
  <si>
    <t>Kód</t>
  </si>
  <si>
    <t>Název</t>
  </si>
  <si>
    <t>Hodnota</t>
  </si>
  <si>
    <t>Výše uvedené parametry definující konstrukci výrobku.</t>
  </si>
  <si>
    <t>110 °C</t>
  </si>
  <si>
    <t>120 °C</t>
  </si>
  <si>
    <t>60 °C</t>
  </si>
  <si>
    <t>50</t>
  </si>
  <si>
    <t xml:space="preserve">PN 25 </t>
  </si>
  <si>
    <t>IDO výrobku (zadává ELIS)</t>
  </si>
  <si>
    <t>Bez kabelu</t>
  </si>
  <si>
    <t>Žádná jednotka (impulzní číslo není požadováno)</t>
  </si>
  <si>
    <t>Referent ELIS</t>
  </si>
  <si>
    <t>Číslo poptávky/objednávky zákazníka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</si>
  <si>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</si>
  <si>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m³/min</t>
  </si>
  <si>
    <t>x</t>
  </si>
  <si>
    <t>xx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</si>
  <si>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"x")</t>
    </r>
  </si>
  <si>
    <t>Tabulka slouží jako příloha k poptávce nebo k objednávce a k zakázkovému listu pro výrobu.</t>
  </si>
  <si>
    <t>Konstrukční provedení průtokoměru</t>
  </si>
  <si>
    <t>Zemnicí elektroda</t>
  </si>
  <si>
    <t>Nadstandardní IP 68</t>
  </si>
  <si>
    <t>Voda</t>
  </si>
  <si>
    <t>100 m</t>
  </si>
  <si>
    <t>20 m</t>
  </si>
  <si>
    <r>
      <t>35 % Q</t>
    </r>
    <r>
      <rPr>
        <sz val="11"/>
        <color theme="1"/>
        <rFont val="Calibri"/>
        <family val="2"/>
        <charset val="238"/>
      </rPr>
      <t>₁</t>
    </r>
  </si>
  <si>
    <t>Krytí skříňky elektroniky</t>
  </si>
  <si>
    <t>Platina-rhodium PtRh20</t>
  </si>
  <si>
    <t>Titan Gr.2 ASTM B348-03</t>
  </si>
  <si>
    <r>
      <t xml:space="preserve">Jmenovitý tlak  </t>
    </r>
    <r>
      <rPr>
        <sz val="11"/>
        <rFont val="Calibri"/>
        <family val="2"/>
        <charset val="238"/>
        <scheme val="minor"/>
      </rPr>
      <t>EN / ASME</t>
    </r>
  </si>
  <si>
    <t xml:space="preserve">PN 16 / Class 150 </t>
  </si>
  <si>
    <t>PN 40 / Class 300</t>
  </si>
  <si>
    <r>
      <t>Maximální dovolený tlak (PS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</si>
  <si>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Měřená tekutina</t>
  </si>
  <si>
    <t>Standardní (viz list "PS max")</t>
  </si>
  <si>
    <t>200</t>
  </si>
  <si>
    <t>250</t>
  </si>
  <si>
    <t>150</t>
  </si>
  <si>
    <t>Průtok 100% (l/s)</t>
  </si>
  <si>
    <t>l/h</t>
  </si>
  <si>
    <t>bbl/s</t>
  </si>
  <si>
    <t>bbl/min</t>
  </si>
  <si>
    <t>bbl/h</t>
  </si>
  <si>
    <t>bbl/den</t>
  </si>
  <si>
    <t>m³/den</t>
  </si>
  <si>
    <t>ft³/s</t>
  </si>
  <si>
    <t>ft³/min</t>
  </si>
  <si>
    <t>ft³/h</t>
  </si>
  <si>
    <t>ft³/den</t>
  </si>
  <si>
    <t>Imp gal/s</t>
  </si>
  <si>
    <t>Imp gal/min</t>
  </si>
  <si>
    <t>Imp gal/h</t>
  </si>
  <si>
    <t>Imp gal/den</t>
  </si>
  <si>
    <t>l</t>
  </si>
  <si>
    <t>bbl</t>
  </si>
  <si>
    <t>bblLiq</t>
  </si>
  <si>
    <t>hl</t>
  </si>
  <si>
    <t>Imp gal</t>
  </si>
  <si>
    <t>yd³</t>
  </si>
  <si>
    <t>ft³</t>
  </si>
  <si>
    <t>in³</t>
  </si>
  <si>
    <t>x2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</si>
  <si>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</si>
  <si>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Trvale sepnuto</t>
  </si>
  <si>
    <t>Adresa</t>
  </si>
  <si>
    <t>Adresa - zapište z rozsahu 1 až 247</t>
  </si>
  <si>
    <t>300 Bd</t>
  </si>
  <si>
    <t>600 Bd</t>
  </si>
  <si>
    <t>56 800 Bd</t>
  </si>
  <si>
    <t>Ano</t>
  </si>
  <si>
    <t>FLOSET 4.0 včetně příslušenství</t>
  </si>
  <si>
    <t>US liquid gal/imp</t>
  </si>
  <si>
    <t>milion l</t>
  </si>
  <si>
    <t>US liquid gal</t>
  </si>
  <si>
    <t>milion US liquid gal</t>
  </si>
  <si>
    <t>bush US</t>
  </si>
  <si>
    <t>milion l/den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</si>
  <si>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</si>
  <si>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</si>
  <si>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</si>
  <si>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t>US liquid gal/hod (GPH)</t>
  </si>
  <si>
    <t>US liquid gal/den (GPD)</t>
  </si>
  <si>
    <t>milion US liquid gal/den</t>
  </si>
  <si>
    <t>hl/imp</t>
  </si>
  <si>
    <t>milion l/imp</t>
  </si>
  <si>
    <t>milion US liquid gal/imp</t>
  </si>
  <si>
    <t>Imp gal/imp</t>
  </si>
  <si>
    <t>bbl/imp</t>
  </si>
  <si>
    <t>bblLiq/imp</t>
  </si>
  <si>
    <t>bush US/imp</t>
  </si>
  <si>
    <t>ft³/imp</t>
  </si>
  <si>
    <t>yd³/imp</t>
  </si>
  <si>
    <t>in³/imp</t>
  </si>
  <si>
    <r>
      <t xml:space="preserve">Frekvenční pro Q+ 
</t>
    </r>
    <r>
      <rPr>
        <sz val="9"/>
        <rFont val="Calibri"/>
        <family val="2"/>
        <charset val="238"/>
        <scheme val="minor"/>
      </rPr>
      <t>0 ÷ 10 kHz  ~  0 ÷ Q</t>
    </r>
    <r>
      <rPr>
        <sz val="10"/>
        <rFont val="Calibri"/>
        <family val="2"/>
        <charset val="238"/>
        <scheme val="minor"/>
      </rPr>
      <t>₃</t>
    </r>
  </si>
  <si>
    <r>
      <t>Frekvenční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10 kHz  ~  0 ÷ Q</t>
    </r>
    <r>
      <rPr>
        <sz val="10"/>
        <rFont val="Calibri"/>
        <family val="2"/>
        <charset val="238"/>
        <scheme val="minor"/>
      </rPr>
      <t>₃</t>
    </r>
  </si>
  <si>
    <r>
      <t xml:space="preserve">Frekvenční - nestandardní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</si>
  <si>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r>
      <t xml:space="preserve">Indikace stavu bez závady
</t>
    </r>
    <r>
      <rPr>
        <sz val="9"/>
        <rFont val="Calibri"/>
        <family val="2"/>
        <charset val="238"/>
        <scheme val="minor"/>
      </rPr>
      <t>(je sepnuto, pokud na průtokoměru není závada)</t>
    </r>
  </si>
  <si>
    <r>
      <t>Maximální provozní teplota média (TS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</si>
  <si>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r>
      <t>TS</t>
    </r>
    <r>
      <rPr>
        <vertAlign val="subscript"/>
        <sz val="11"/>
        <color theme="1"/>
        <rFont val="Calibri"/>
        <family val="2"/>
        <charset val="238"/>
      </rPr>
      <t>max</t>
    </r>
    <r>
      <rPr>
        <sz val="11"/>
        <color theme="1"/>
        <rFont val="Calibri"/>
        <family val="2"/>
        <charset val="238"/>
      </rPr>
      <t xml:space="preserve"> = 80 °C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</si>
  <si>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>= 110 °C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</si>
  <si>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120 °C 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</si>
  <si>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>= 150 °C</t>
    </r>
  </si>
  <si>
    <t>(výstelky PTFE)**</t>
  </si>
  <si>
    <t>PN40</t>
  </si>
  <si>
    <t>PN16</t>
  </si>
  <si>
    <t>PN10</t>
  </si>
  <si>
    <t>PN6</t>
  </si>
  <si>
    <t>Class 150</t>
  </si>
  <si>
    <t>Přehled standardních maximálních dovolených tlaků</t>
  </si>
  <si>
    <t>v závislosti na typu a materiálu přírub, na maximální dovolené teplotě a na jmenovitém tlaku</t>
  </si>
  <si>
    <t>Příruby dle EN1092-1 z uhlíkové oceli</t>
  </si>
  <si>
    <t>Příruby dle ASME B16.5 z uhlíkové oceli</t>
  </si>
  <si>
    <t>Bezpřírubové provedení z uhlíkové oceli</t>
  </si>
  <si>
    <t>(výstelky TG, MG, NG)</t>
  </si>
  <si>
    <t>(výstelky E-CTFE)**</t>
  </si>
  <si>
    <t xml:space="preserve">Jmenovitá </t>
  </si>
  <si>
    <t>světlost čidla</t>
  </si>
  <si>
    <t>Jmenovitý</t>
  </si>
  <si>
    <t>tlak</t>
  </si>
  <si>
    <t>*   Pro příruby materiálové skupiny 3E0 dle ČSN EN1092-1 např. ocel P245GH, P265GH.</t>
  </si>
  <si>
    <t>**  Pouze na speciální vyžádání.</t>
  </si>
  <si>
    <t>Poznámky</t>
  </si>
  <si>
    <r>
      <t>pro maximální dovolenou teplotu 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1"/>
        <color theme="1"/>
        <rFont val="Calibri"/>
        <family val="2"/>
        <charset val="238"/>
      </rPr>
      <t>*</t>
    </r>
  </si>
  <si>
    <r>
      <t>Maximální dovolený tlak PS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1"/>
        <color theme="1"/>
        <rFont val="Calibri"/>
        <family val="2"/>
        <charset val="238"/>
      </rPr>
      <t xml:space="preserve"> [bar]</t>
    </r>
    <r>
      <rPr>
        <sz val="11"/>
        <color theme="1"/>
        <rFont val="Calibri"/>
        <family val="2"/>
        <charset val="238"/>
      </rPr>
      <t xml:space="preserve"> </t>
    </r>
  </si>
  <si>
    <r>
      <t>Maximální dovolený tlak PS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1"/>
        <color theme="1"/>
        <rFont val="Calibri"/>
        <family val="2"/>
        <charset val="238"/>
      </rPr>
      <t xml:space="preserve"> [bar] </t>
    </r>
  </si>
  <si>
    <r>
      <t>Hodnoty PS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(maximální dovolený tlak) a TS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(maximální dovolená teplota), vztahující se k čidlu, jsou uvedeny na štítku čidla.</t>
    </r>
  </si>
  <si>
    <r>
      <t>Po konzultaci je možné dodat čidla s přírubami pro jiné hodnoty PS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a TS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s ohledem na tlako-teplotní vlastnosti materiálu přírub.</t>
    </r>
  </si>
  <si>
    <r>
      <t>Maximální provozní teplota média (TS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</si>
  <si>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r>
      <t>Maximální dovolený tlak (PS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</si>
  <si>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t>Jmenovitý tlak (PN)</t>
  </si>
  <si>
    <t xml:space="preserve">Jednotky objemu </t>
  </si>
  <si>
    <t xml:space="preserve">Jednotky průtoku </t>
  </si>
  <si>
    <t>Jednotky objemu</t>
  </si>
  <si>
    <t>Jednotky průtoku</t>
  </si>
  <si>
    <t>Plášť i případné příruby: Uhlíková ocel 
Vnější nátěr: Polyuretan</t>
  </si>
  <si>
    <t>Plášť: Uhlíková ocel 
Příruby: Nerez 1.4301 
Vnější nátěr: Polyuretan</t>
  </si>
  <si>
    <r>
      <t xml:space="preserve">Pulzní pro Q+ 
</t>
    </r>
    <r>
      <rPr>
        <sz val="9"/>
        <rFont val="Calibri"/>
        <family val="2"/>
        <charset val="238"/>
        <scheme val="minor"/>
      </rPr>
      <t>pulz 5 ms, mezera min. 5 ms, standardní impulzní čís.</t>
    </r>
  </si>
  <si>
    <r>
      <t>Pulzní pro 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pulz 5 ms, mezera min. 5 ms, standardní impulzní čís.</t>
    </r>
  </si>
  <si>
    <r>
      <t xml:space="preserve">Pulzní pro |Q|
</t>
    </r>
    <r>
      <rPr>
        <sz val="9"/>
        <rFont val="Calibri"/>
        <family val="2"/>
        <charset val="238"/>
        <scheme val="minor"/>
      </rPr>
      <t>pulz 5 ms, mezera min. 5 ms, standardní impulzní čís.</t>
    </r>
  </si>
  <si>
    <t>Pulzní - nestandardní pulzy, mezery nebo impulzní číslo</t>
  </si>
  <si>
    <r>
      <t>Indikace mezního průtoku Q &gt; Q</t>
    </r>
    <r>
      <rPr>
        <vertAlign val="subscript"/>
        <sz val="11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 xml:space="preserve">
(Qmezní = Q₃  -  sepne, je-li Q &gt; Q</t>
    </r>
    <r>
      <rPr>
        <vertAlign val="subscript"/>
        <sz val="10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</si>
  <si>
    <r>
      <t>Indikace mezního průtoku |Q| &gt; Q</t>
    </r>
    <r>
      <rPr>
        <vertAlign val="subscript"/>
        <sz val="11"/>
        <rFont val="Calibri"/>
        <family val="2"/>
        <charset val="238"/>
        <scheme val="minor"/>
      </rPr>
      <t xml:space="preserve">mezní
</t>
    </r>
    <r>
      <rPr>
        <sz val="9"/>
        <rFont val="Calibri"/>
        <family val="2"/>
        <charset val="238"/>
        <scheme val="minor"/>
      </rPr>
      <t>(Qmezní = Q₃  -  sepne, je-li |Q| &gt; Q</t>
    </r>
    <r>
      <rPr>
        <vertAlign val="subscript"/>
        <sz val="10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</si>
  <si>
    <t xml:space="preserve">12 měsíců </t>
  </si>
  <si>
    <t>(výstelky PTFE, E-CTFE)**</t>
  </si>
  <si>
    <t>Příruby dle EN1092-1 z korozivzdorné oceli 1.4301</t>
  </si>
  <si>
    <t>Příruby dle ASME B16.5 z korozivzdorné oceli 1.4301</t>
  </si>
  <si>
    <t>DN15 – DN50</t>
  </si>
  <si>
    <t>DN65 – DN200</t>
  </si>
  <si>
    <t>DN250 – DN700</t>
  </si>
  <si>
    <t>NPS ½“ – 24“</t>
  </si>
  <si>
    <t>DN20 – DN50</t>
  </si>
  <si>
    <t xml:space="preserve"> )</t>
  </si>
  <si>
    <t>NPS</t>
  </si>
  <si>
    <t>Objem</t>
  </si>
  <si>
    <t>Šířka</t>
  </si>
  <si>
    <t>pro Q4</t>
  </si>
  <si>
    <t>V</t>
  </si>
  <si>
    <t>f</t>
  </si>
  <si>
    <t>Pmax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</si>
  <si>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</si>
  <si>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</si>
  <si>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</si>
  <si>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</si>
  <si>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</si>
  <si>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</si>
  <si>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</si>
  <si>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</si>
  <si>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</si>
  <si>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5“</t>
  </si>
  <si>
    <t>6“</t>
  </si>
  <si>
    <t>8“</t>
  </si>
  <si>
    <t>10“</t>
  </si>
  <si>
    <t>12“</t>
  </si>
  <si>
    <t>14“</t>
  </si>
  <si>
    <t>16“</t>
  </si>
  <si>
    <t>20“</t>
  </si>
  <si>
    <t>24“</t>
  </si>
  <si>
    <t>- </t>
  </si>
  <si>
    <t>Přehled impulzních čísel</t>
  </si>
  <si>
    <t>[l/imp]</t>
  </si>
  <si>
    <t>[Hz]</t>
  </si>
  <si>
    <t>[ms]</t>
  </si>
  <si>
    <t>f pulzů</t>
  </si>
  <si>
    <t>pulzu</t>
  </si>
  <si>
    <t>(v = 10 m/s)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</si>
  <si>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</si>
  <si>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</si>
  <si>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t>[l/s]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</si>
  <si>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</si>
  <si>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</si>
  <si>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</si>
  <si>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r>
      <t>Impulzní číslo</t>
    </r>
    <r>
      <rPr>
        <sz val="11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charset val="238"/>
      </rPr>
      <t>[l/impulz]</t>
    </r>
  </si>
  <si>
    <r>
      <t xml:space="preserve">DN </t>
    </r>
    <r>
      <rPr>
        <sz val="10"/>
        <color rgb="FF000000"/>
        <rFont val="Calibri"/>
        <family val="2"/>
        <charset val="238"/>
      </rPr>
      <t>[mm]</t>
    </r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</si>
  <si>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</si>
  <si>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</si>
  <si>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v závislosti na frekvenci a dimenzi</t>
  </si>
  <si>
    <t>x1</t>
  </si>
  <si>
    <t>70 °C</t>
  </si>
  <si>
    <r>
      <t xml:space="preserve">Frekvenční pro Q+ 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</si>
  <si>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r>
      <t>Frekvenční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</si>
  <si>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r>
      <t xml:space="preserve">Frekvenční pro |Q| 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</si>
  <si>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t>Standardní (viz list "Impulzní čísla")</t>
  </si>
  <si>
    <t>18“</t>
  </si>
  <si>
    <t>Sloupec pro zápis návrhu úprav</t>
  </si>
  <si>
    <t>AS 4087</t>
  </si>
  <si>
    <t>BS 4504</t>
  </si>
  <si>
    <t>JIS B2210</t>
  </si>
  <si>
    <t>l/imp (standardně)</t>
  </si>
  <si>
    <t>m³ (standardně)</t>
  </si>
  <si>
    <t>m³/h (standardně)</t>
  </si>
  <si>
    <t>50 % Q₁ (standardně)</t>
  </si>
  <si>
    <t>Celkový objem (standardně)</t>
  </si>
  <si>
    <t>Frekvenční pro |Q| (standardně) 
0 ÷ 10 kHz  ~  0 ÷ Q₃</t>
  </si>
  <si>
    <t>9 600 Bd (standardně)</t>
  </si>
  <si>
    <t>24 měsíců (standardně)</t>
  </si>
  <si>
    <t>DN6 ~ 1 m³/h</t>
  </si>
  <si>
    <t>DN20 ~ 12 m³/h</t>
  </si>
  <si>
    <t>DN25 ~ 20 m³/h</t>
  </si>
  <si>
    <t>DN40 ~ 50 m³/h</t>
  </si>
  <si>
    <t>DN50 ~ 79 m³/h</t>
  </si>
  <si>
    <t>DN65 ~ 125 m³/h</t>
  </si>
  <si>
    <t>DN80 ~ 200 m³/h</t>
  </si>
  <si>
    <t>DN125 ~ 500 m³/h</t>
  </si>
  <si>
    <t>DN150 ~ 788 m³/h</t>
  </si>
  <si>
    <t>DN200 ~ 1 250 m³/h</t>
  </si>
  <si>
    <t>DN250 ~ 2 000 m³/h</t>
  </si>
  <si>
    <t>DN300 ~ 3 125 m³/h</t>
  </si>
  <si>
    <t>DN350 ~ 3 125 m³/h</t>
  </si>
  <si>
    <t>DN400 ~ 5 000 m³/h</t>
  </si>
  <si>
    <t>DN450 ~ 5 000 m³/h</t>
  </si>
  <si>
    <t>DN500 ~ 7 875 m³/h</t>
  </si>
  <si>
    <t>DN600 ~ 7 875 m³/h</t>
  </si>
  <si>
    <t>DN700 ~ 12 500 m³/h</t>
  </si>
  <si>
    <t>DN800 ~ 12 500 m³/h</t>
  </si>
  <si>
    <t>Dimenze čidla</t>
  </si>
  <si>
    <t>ASME (ANSI) B16.5 (max. DN600)</t>
  </si>
  <si>
    <t>AWWA C207 (DN700 a větší)</t>
  </si>
  <si>
    <t>5 m (standardně)</t>
  </si>
  <si>
    <t>DN8 ~ 1,8 m³/h</t>
  </si>
  <si>
    <t>DN10 ~ 2,8 m³/h</t>
  </si>
  <si>
    <t>DN15 ~ 7,87 m³/h</t>
  </si>
  <si>
    <t>DN32 ~ 31,25m³/h</t>
  </si>
  <si>
    <t>DN100 ~ 312,5 m³/h</t>
  </si>
  <si>
    <t>FN50</t>
  </si>
  <si>
    <t>Přírubové - měření chladu a ost. aplikace</t>
  </si>
  <si>
    <t>Přírubové - měření tepla</t>
  </si>
  <si>
    <t>Bezpřírubové - měření chladu a ost. aplikace (do DN200)</t>
  </si>
  <si>
    <t>Bezpřírubové - měření tepla (do DN200)</t>
  </si>
  <si>
    <t>EKONOMIC kompaktní</t>
  </si>
  <si>
    <t>EKONOMIC oddělené</t>
  </si>
  <si>
    <t>0</t>
  </si>
  <si>
    <t>Celonerezové čidlo 1.4301</t>
  </si>
  <si>
    <t>85 ÷ 305 V AC</t>
  </si>
  <si>
    <t>8 ÷ 25 V AC</t>
  </si>
  <si>
    <t>10 ÷ 36 V DC</t>
  </si>
  <si>
    <t>Výstup OUT</t>
  </si>
  <si>
    <t>Funkce OUT</t>
  </si>
  <si>
    <t>DN800</t>
  </si>
  <si>
    <t>KALIBRACE</t>
  </si>
  <si>
    <t>Kalibrace</t>
  </si>
  <si>
    <t>Bez kalibrace</t>
  </si>
  <si>
    <t>Binární kladný (sepnuto)</t>
  </si>
  <si>
    <t>Binární záporný (sepnuto)</t>
  </si>
  <si>
    <t>Nadstandardní kalibrace dle EN ISO 4064-1 s přesností ±0,5 %</t>
  </si>
  <si>
    <t>Nadstandardní kalibrace dle EN ISO 4064-1 s přesností ±0,2 %</t>
  </si>
  <si>
    <t>Nestanardní požadavek na kalibraci</t>
  </si>
  <si>
    <t>Nadstandardní kalibrace dle EN 1434 s přesností ±0,5 %</t>
  </si>
  <si>
    <t>Nadstandardní kalibrace dle EN 1434 s přesností ±0,2 %</t>
  </si>
  <si>
    <t>Položka zrušena</t>
  </si>
  <si>
    <t>Standardní kalibrace dle EN ISO 4064-1, 
tř. přesnosti 2</t>
  </si>
  <si>
    <t>Standardní kalibrace dle EN 1434, 
tř. přesnosti 2</t>
  </si>
  <si>
    <t>Tvrdá pryž (+5 ÷ +80 °C, DN25 ÷ DN800)</t>
  </si>
  <si>
    <t>Měkká pryž (-20 ÷ +80 °C, DN25 ÷ DN800)</t>
  </si>
  <si>
    <t>Pryž pro pitnou vodu (+5 ÷ +80 °C, DN40 ÷ DN800)</t>
  </si>
  <si>
    <t>Teflon PTFE (-20 ÷ +150 °C, DN15 ÷ DN800)</t>
  </si>
  <si>
    <t>E-CTFE (-20 ÷ +120 °C, DN300 ÷ DN800)</t>
  </si>
  <si>
    <t>Specifikační tabulka indukčního průtokoměru FLONET FN50xx.2</t>
  </si>
  <si>
    <t>.2-</t>
  </si>
  <si>
    <t>100 (standardně)</t>
  </si>
  <si>
    <r>
      <t>Standardní průtok Q</t>
    </r>
    <r>
      <rPr>
        <sz val="11"/>
        <rFont val="Calibri"/>
        <family val="2"/>
        <charset val="238"/>
      </rPr>
      <t>₃</t>
    </r>
    <r>
      <rPr>
        <sz val="11"/>
        <rFont val="Calibri"/>
        <family val="2"/>
        <charset val="238"/>
        <scheme val="minor"/>
      </rPr>
      <t>/qp</t>
    </r>
  </si>
  <si>
    <t>Rozhraní</t>
  </si>
  <si>
    <t>NASTAVENÍ KOMUNIKACE</t>
  </si>
  <si>
    <t>Komunikace není požadována</t>
  </si>
  <si>
    <t>RS-485 MODBUS RTU</t>
  </si>
  <si>
    <t>IP 65</t>
  </si>
  <si>
    <t>IP 67</t>
  </si>
  <si>
    <t>Es90149F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</si>
</sst>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\.\ mmmm\ yyyy;@"/>
    <numFmt numFmtId="165" formatCode="000"/>
    <numFmt numFmtId="166" formatCode="0.000"/>
    <numFmt numFmtId="167" formatCode="0.0"/>
  </numFmts>
  <fonts count="8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vertAlign val="subscript"/>
      <sz val="9"/>
      <color theme="1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center" wrapText="1"/>
    </xf>
    <xf numFmtId="0" fontId="1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27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37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8" fillId="0" borderId="9" xfId="0" applyNumberFormat="1" applyFont="1" applyBorder="1" applyAlignment="1" applyProtection="1">
      <alignment horizontal="center" vertical="center"/>
      <protection hidden="1"/>
    </xf>
    <xf numFmtId="49" fontId="18" fillId="0" borderId="0" xfId="0" applyNumberFormat="1" applyFont="1" applyAlignment="1">
      <alignment vertical="center"/>
    </xf>
    <xf numFmtId="0" fontId="14" fillId="9" borderId="15" xfId="0" applyFont="1" applyFill="1" applyBorder="1" applyAlignment="1" applyProtection="1">
      <alignment vertical="center"/>
      <protection hidden="1"/>
    </xf>
    <xf numFmtId="0" fontId="21" fillId="0" borderId="32" xfId="0" applyFont="1" applyBorder="1" applyProtection="1">
      <protection hidden="1"/>
    </xf>
    <xf numFmtId="0" fontId="21" fillId="0" borderId="33" xfId="0" applyFont="1" applyBorder="1" applyProtection="1">
      <protection hidden="1"/>
    </xf>
    <xf numFmtId="0" fontId="21" fillId="0" borderId="31" xfId="0" applyFont="1" applyBorder="1" applyAlignment="1" applyProtection="1">
      <alignment wrapText="1"/>
      <protection hidden="1"/>
    </xf>
    <xf numFmtId="0" fontId="41" fillId="0" borderId="5" xfId="0" applyFont="1" applyBorder="1" applyAlignment="1" applyProtection="1">
      <alignment vertical="center" wrapText="1"/>
      <protection locked="0"/>
    </xf>
    <xf numFmtId="0" fontId="29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42" fillId="3" borderId="29" xfId="0" applyFont="1" applyFill="1" applyBorder="1" applyAlignment="1" applyProtection="1">
      <alignment horizontal="center" vertical="center" wrapText="1"/>
      <protection hidden="1"/>
    </xf>
    <xf numFmtId="0" fontId="0" fillId="2" borderId="34" xfId="0" applyFill="1" applyBorder="1" applyAlignment="1">
      <alignment vertical="center"/>
    </xf>
    <xf numFmtId="0" fontId="4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14" fillId="2" borderId="35" xfId="0" applyFont="1" applyFill="1" applyBorder="1" applyAlignment="1">
      <alignment vertical="center" wrapText="1"/>
    </xf>
    <xf numFmtId="1" fontId="0" fillId="0" borderId="35" xfId="0" applyNumberFormat="1" applyBorder="1" applyAlignment="1">
      <alignment horizontal="center" vertical="center"/>
    </xf>
    <xf numFmtId="0" fontId="57" fillId="0" borderId="0" xfId="0" applyFont="1" applyAlignment="1">
      <alignment horizontal="left" vertical="center" indent="2"/>
    </xf>
    <xf numFmtId="0" fontId="49" fillId="0" borderId="0" xfId="0" applyFont="1" applyAlignment="1">
      <alignment horizontal="justify" vertical="center"/>
    </xf>
    <xf numFmtId="0" fontId="56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0" applyFont="1"/>
    <xf numFmtId="0" fontId="4" fillId="0" borderId="0" xfId="0" applyFont="1"/>
    <xf numFmtId="0" fontId="57" fillId="0" borderId="0" xfId="0" applyFont="1" applyAlignment="1">
      <alignment horizontal="left" vertical="center"/>
    </xf>
    <xf numFmtId="0" fontId="61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61" fillId="8" borderId="12" xfId="0" applyFont="1" applyFill="1" applyBorder="1" applyAlignment="1">
      <alignment horizontal="center" vertical="center"/>
    </xf>
    <xf numFmtId="0" fontId="62" fillId="8" borderId="12" xfId="0" applyFont="1" applyFill="1" applyBorder="1" applyAlignment="1">
      <alignment horizontal="center" vertical="center"/>
    </xf>
    <xf numFmtId="0" fontId="32" fillId="9" borderId="15" xfId="0" applyFont="1" applyFill="1" applyBorder="1" applyAlignment="1" applyProtection="1">
      <alignment vertical="center"/>
      <protection locked="0" hidden="1"/>
    </xf>
    <xf numFmtId="0" fontId="61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1" fillId="0" borderId="42" xfId="0" applyFont="1" applyBorder="1" applyAlignment="1">
      <alignment horizontal="center" vertical="center"/>
    </xf>
    <xf numFmtId="0" fontId="66" fillId="8" borderId="42" xfId="0" applyFont="1" applyFill="1" applyBorder="1" applyAlignment="1">
      <alignment horizontal="center" vertical="center"/>
    </xf>
    <xf numFmtId="0" fontId="62" fillId="0" borderId="42" xfId="0" applyFont="1" applyBorder="1" applyAlignment="1">
      <alignment horizontal="center" vertical="center"/>
    </xf>
    <xf numFmtId="0" fontId="61" fillId="8" borderId="42" xfId="0" applyFont="1" applyFill="1" applyBorder="1" applyAlignment="1">
      <alignment horizontal="center" vertical="center"/>
    </xf>
    <xf numFmtId="0" fontId="62" fillId="8" borderId="42" xfId="0" applyFont="1" applyFill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62" fillId="0" borderId="44" xfId="0" applyFont="1" applyBorder="1" applyAlignment="1">
      <alignment horizontal="center" vertical="center"/>
    </xf>
    <xf numFmtId="0" fontId="70" fillId="3" borderId="59" xfId="0" applyFont="1" applyFill="1" applyBorder="1" applyAlignment="1">
      <alignment horizontal="center" vertical="center" wrapText="1"/>
    </xf>
    <xf numFmtId="0" fontId="70" fillId="3" borderId="51" xfId="0" applyFont="1" applyFill="1" applyBorder="1" applyAlignment="1">
      <alignment horizontal="center" vertical="center" wrapText="1"/>
    </xf>
    <xf numFmtId="0" fontId="76" fillId="3" borderId="57" xfId="0" applyFont="1" applyFill="1" applyBorder="1" applyAlignment="1">
      <alignment horizontal="center" vertical="center" wrapText="1"/>
    </xf>
    <xf numFmtId="0" fontId="71" fillId="3" borderId="58" xfId="0" applyFont="1" applyFill="1" applyBorder="1" applyAlignment="1">
      <alignment horizontal="center" vertical="center" wrapText="1"/>
    </xf>
    <xf numFmtId="166" fontId="70" fillId="3" borderId="59" xfId="0" applyNumberFormat="1" applyFont="1" applyFill="1" applyBorder="1" applyAlignment="1">
      <alignment horizontal="center" vertical="center" wrapText="1"/>
    </xf>
    <xf numFmtId="0" fontId="76" fillId="3" borderId="55" xfId="0" applyFont="1" applyFill="1" applyBorder="1" applyAlignment="1">
      <alignment horizontal="center" vertical="center" wrapText="1"/>
    </xf>
    <xf numFmtId="0" fontId="71" fillId="3" borderId="50" xfId="0" applyFont="1" applyFill="1" applyBorder="1" applyAlignment="1">
      <alignment horizontal="center" vertical="center" wrapText="1"/>
    </xf>
    <xf numFmtId="3" fontId="71" fillId="3" borderId="50" xfId="0" applyNumberFormat="1" applyFont="1" applyFill="1" applyBorder="1" applyAlignment="1">
      <alignment horizontal="center" vertical="center" wrapText="1"/>
    </xf>
    <xf numFmtId="3" fontId="70" fillId="3" borderId="51" xfId="0" applyNumberFormat="1" applyFont="1" applyFill="1" applyBorder="1" applyAlignment="1">
      <alignment horizontal="center" vertical="center" wrapText="1"/>
    </xf>
    <xf numFmtId="0" fontId="67" fillId="3" borderId="72" xfId="0" applyFont="1" applyFill="1" applyBorder="1" applyAlignment="1">
      <alignment horizontal="centerContinuous" wrapText="1"/>
    </xf>
    <xf numFmtId="0" fontId="67" fillId="3" borderId="73" xfId="0" applyFont="1" applyFill="1" applyBorder="1" applyAlignment="1">
      <alignment horizontal="centerContinuous" vertical="top" wrapText="1"/>
    </xf>
    <xf numFmtId="0" fontId="67" fillId="3" borderId="74" xfId="0" applyFont="1" applyFill="1" applyBorder="1" applyAlignment="1">
      <alignment horizontal="centerContinuous" vertical="top" wrapText="1"/>
    </xf>
    <xf numFmtId="0" fontId="67" fillId="3" borderId="63" xfId="0" applyFont="1" applyFill="1" applyBorder="1" applyAlignment="1">
      <alignment horizontal="center" wrapText="1"/>
    </xf>
    <xf numFmtId="0" fontId="67" fillId="3" borderId="64" xfId="0" applyFont="1" applyFill="1" applyBorder="1" applyAlignment="1">
      <alignment horizontal="center" wrapText="1"/>
    </xf>
    <xf numFmtId="0" fontId="67" fillId="3" borderId="65" xfId="0" applyFont="1" applyFill="1" applyBorder="1" applyAlignment="1">
      <alignment horizontal="center" wrapText="1"/>
    </xf>
    <xf numFmtId="0" fontId="67" fillId="3" borderId="69" xfId="0" applyFont="1" applyFill="1" applyBorder="1" applyAlignment="1">
      <alignment horizontal="center" vertical="top" wrapText="1"/>
    </xf>
    <xf numFmtId="0" fontId="67" fillId="3" borderId="70" xfId="0" applyFont="1" applyFill="1" applyBorder="1" applyAlignment="1">
      <alignment horizontal="center" vertical="top" wrapText="1"/>
    </xf>
    <xf numFmtId="0" fontId="67" fillId="3" borderId="71" xfId="0" applyFont="1" applyFill="1" applyBorder="1" applyAlignment="1">
      <alignment horizontal="center" vertical="top" wrapText="1"/>
    </xf>
    <xf numFmtId="0" fontId="68" fillId="3" borderId="75" xfId="0" applyFont="1" applyFill="1" applyBorder="1" applyAlignment="1">
      <alignment horizontal="center" wrapText="1"/>
    </xf>
    <xf numFmtId="0" fontId="68" fillId="3" borderId="76" xfId="0" applyFont="1" applyFill="1" applyBorder="1" applyAlignment="1">
      <alignment horizontal="center" wrapText="1"/>
    </xf>
    <xf numFmtId="0" fontId="68" fillId="3" borderId="77" xfId="0" applyFont="1" applyFill="1" applyBorder="1" applyAlignment="1">
      <alignment horizontal="center" wrapText="1"/>
    </xf>
    <xf numFmtId="0" fontId="69" fillId="3" borderId="66" xfId="0" applyFont="1" applyFill="1" applyBorder="1" applyAlignment="1">
      <alignment horizontal="center" vertical="top" wrapText="1"/>
    </xf>
    <xf numFmtId="0" fontId="69" fillId="3" borderId="67" xfId="0" applyFont="1" applyFill="1" applyBorder="1" applyAlignment="1">
      <alignment horizontal="center" vertical="top" wrapText="1"/>
    </xf>
    <xf numFmtId="0" fontId="69" fillId="3" borderId="68" xfId="0" applyFont="1" applyFill="1" applyBorder="1" applyAlignment="1">
      <alignment horizontal="center" vertical="top" wrapText="1"/>
    </xf>
    <xf numFmtId="2" fontId="70" fillId="3" borderId="48" xfId="0" applyNumberFormat="1" applyFont="1" applyFill="1" applyBorder="1" applyAlignment="1">
      <alignment horizontal="center" vertical="center" wrapText="1"/>
    </xf>
    <xf numFmtId="0" fontId="71" fillId="3" borderId="59" xfId="0" applyFont="1" applyFill="1" applyBorder="1" applyAlignment="1">
      <alignment horizontal="center" vertical="center" wrapText="1"/>
    </xf>
    <xf numFmtId="0" fontId="71" fillId="3" borderId="51" xfId="0" applyFont="1" applyFill="1" applyBorder="1" applyAlignment="1">
      <alignment horizontal="center" vertical="center" wrapText="1"/>
    </xf>
    <xf numFmtId="0" fontId="67" fillId="11" borderId="72" xfId="0" applyFont="1" applyFill="1" applyBorder="1" applyAlignment="1">
      <alignment horizontal="centerContinuous" wrapText="1"/>
    </xf>
    <xf numFmtId="0" fontId="67" fillId="11" borderId="73" xfId="0" applyFont="1" applyFill="1" applyBorder="1" applyAlignment="1">
      <alignment horizontal="centerContinuous" vertical="top" wrapText="1"/>
    </xf>
    <xf numFmtId="0" fontId="67" fillId="11" borderId="74" xfId="0" applyFont="1" applyFill="1" applyBorder="1" applyAlignment="1">
      <alignment horizontal="centerContinuous" vertical="top" wrapText="1"/>
    </xf>
    <xf numFmtId="0" fontId="62" fillId="0" borderId="58" xfId="0" applyFont="1" applyBorder="1" applyAlignment="1">
      <alignment horizontal="right" vertical="center" wrapText="1" indent="1"/>
    </xf>
    <xf numFmtId="0" fontId="62" fillId="0" borderId="50" xfId="0" applyFont="1" applyBorder="1" applyAlignment="1">
      <alignment horizontal="right" vertical="center" wrapText="1" indent="1"/>
    </xf>
    <xf numFmtId="0" fontId="62" fillId="11" borderId="58" xfId="0" applyFont="1" applyFill="1" applyBorder="1" applyAlignment="1">
      <alignment horizontal="right" vertical="center" wrapText="1" indent="1"/>
    </xf>
    <xf numFmtId="0" fontId="62" fillId="11" borderId="50" xfId="0" applyFont="1" applyFill="1" applyBorder="1" applyAlignment="1">
      <alignment horizontal="right" vertical="center" wrapText="1" indent="1"/>
    </xf>
    <xf numFmtId="3" fontId="62" fillId="0" borderId="50" xfId="0" applyNumberFormat="1" applyFont="1" applyBorder="1" applyAlignment="1">
      <alignment horizontal="right" vertical="center" wrapText="1" indent="1"/>
    </xf>
    <xf numFmtId="0" fontId="76" fillId="3" borderId="47" xfId="0" applyFont="1" applyFill="1" applyBorder="1" applyAlignment="1">
      <alignment horizontal="right" vertical="center" wrapText="1" indent="1"/>
    </xf>
    <xf numFmtId="0" fontId="76" fillId="3" borderId="46" xfId="0" applyFont="1" applyFill="1" applyBorder="1" applyAlignment="1">
      <alignment horizontal="right" vertical="center" wrapText="1" indent="1"/>
    </xf>
    <xf numFmtId="4" fontId="70" fillId="3" borderId="48" xfId="0" applyNumberFormat="1" applyFont="1" applyFill="1" applyBorder="1" applyAlignment="1">
      <alignment horizontal="center" vertical="center" wrapText="1"/>
    </xf>
    <xf numFmtId="4" fontId="70" fillId="3" borderId="45" xfId="0" applyNumberFormat="1" applyFont="1" applyFill="1" applyBorder="1" applyAlignment="1">
      <alignment horizontal="center" vertical="center" wrapText="1"/>
    </xf>
    <xf numFmtId="3" fontId="71" fillId="3" borderId="63" xfId="0" applyNumberFormat="1" applyFont="1" applyFill="1" applyBorder="1" applyAlignment="1">
      <alignment horizontal="center" vertical="center" wrapText="1"/>
    </xf>
    <xf numFmtId="3" fontId="70" fillId="3" borderId="65" xfId="0" applyNumberFormat="1" applyFont="1" applyFill="1" applyBorder="1" applyAlignment="1">
      <alignment horizontal="center" vertical="center" wrapText="1"/>
    </xf>
    <xf numFmtId="0" fontId="62" fillId="0" borderId="63" xfId="0" applyFont="1" applyBorder="1" applyAlignment="1">
      <alignment horizontal="right" vertical="center" wrapText="1" indent="1"/>
    </xf>
    <xf numFmtId="4" fontId="70" fillId="3" borderId="64" xfId="0" applyNumberFormat="1" applyFont="1" applyFill="1" applyBorder="1" applyAlignment="1">
      <alignment horizontal="center" vertical="center" wrapText="1"/>
    </xf>
    <xf numFmtId="0" fontId="71" fillId="3" borderId="65" xfId="0" applyFont="1" applyFill="1" applyBorder="1" applyAlignment="1">
      <alignment horizontal="center" vertical="center" wrapText="1"/>
    </xf>
    <xf numFmtId="0" fontId="70" fillId="3" borderId="65" xfId="0" applyFont="1" applyFill="1" applyBorder="1" applyAlignment="1">
      <alignment horizontal="center" vertical="center" wrapText="1"/>
    </xf>
    <xf numFmtId="3" fontId="62" fillId="0" borderId="63" xfId="0" applyNumberFormat="1" applyFont="1" applyBorder="1" applyAlignment="1">
      <alignment horizontal="right" vertical="center" wrapText="1" indent="1"/>
    </xf>
    <xf numFmtId="166" fontId="70" fillId="3" borderId="51" xfId="0" applyNumberFormat="1" applyFont="1" applyFill="1" applyBorder="1" applyAlignment="1">
      <alignment horizontal="center" vertical="center" wrapText="1"/>
    </xf>
    <xf numFmtId="2" fontId="70" fillId="3" borderId="51" xfId="0" applyNumberFormat="1" applyFont="1" applyFill="1" applyBorder="1" applyAlignment="1">
      <alignment horizontal="center" vertical="center" wrapText="1"/>
    </xf>
    <xf numFmtId="167" fontId="70" fillId="3" borderId="51" xfId="0" applyNumberFormat="1" applyFont="1" applyFill="1" applyBorder="1" applyAlignment="1">
      <alignment horizontal="center" vertical="center" wrapText="1"/>
    </xf>
    <xf numFmtId="0" fontId="78" fillId="12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/>
    <xf numFmtId="0" fontId="76" fillId="3" borderId="79" xfId="0" applyFont="1" applyFill="1" applyBorder="1" applyAlignment="1">
      <alignment horizontal="right" vertical="center" wrapText="1" indent="1"/>
    </xf>
    <xf numFmtId="0" fontId="76" fillId="3" borderId="80" xfId="0" applyFont="1" applyFill="1" applyBorder="1" applyAlignment="1">
      <alignment horizontal="center" vertical="center" wrapText="1"/>
    </xf>
    <xf numFmtId="0" fontId="62" fillId="11" borderId="63" xfId="0" applyFont="1" applyFill="1" applyBorder="1" applyAlignment="1">
      <alignment horizontal="right" vertical="center" wrapText="1" indent="1"/>
    </xf>
    <xf numFmtId="0" fontId="0" fillId="0" borderId="78" xfId="0" applyBorder="1"/>
    <xf numFmtId="0" fontId="61" fillId="8" borderId="10" xfId="0" applyFont="1" applyFill="1" applyBorder="1" applyAlignment="1">
      <alignment horizontal="center" vertical="center"/>
    </xf>
    <xf numFmtId="0" fontId="66" fillId="8" borderId="10" xfId="0" applyFont="1" applyFill="1" applyBorder="1" applyAlignment="1">
      <alignment horizontal="center" vertical="center"/>
    </xf>
    <xf numFmtId="0" fontId="62" fillId="8" borderId="10" xfId="0" applyFont="1" applyFill="1" applyBorder="1" applyAlignment="1">
      <alignment horizontal="center" vertical="center"/>
    </xf>
    <xf numFmtId="0" fontId="7" fillId="13" borderId="36" xfId="0" applyFont="1" applyFill="1" applyBorder="1" applyAlignment="1">
      <alignment horizontal="center" vertical="center"/>
    </xf>
    <xf numFmtId="0" fontId="7" fillId="13" borderId="37" xfId="0" applyFont="1" applyFill="1" applyBorder="1" applyAlignment="1">
      <alignment horizontal="center"/>
    </xf>
    <xf numFmtId="0" fontId="7" fillId="13" borderId="37" xfId="0" applyFont="1" applyFill="1" applyBorder="1" applyAlignment="1">
      <alignment horizontal="center" vertical="top"/>
    </xf>
    <xf numFmtId="0" fontId="7" fillId="13" borderId="36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/>
    </xf>
    <xf numFmtId="0" fontId="54" fillId="13" borderId="14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top"/>
    </xf>
    <xf numFmtId="0" fontId="50" fillId="13" borderId="40" xfId="0" applyFont="1" applyFill="1" applyBorder="1" applyAlignment="1">
      <alignment horizontal="center" vertical="center" wrapText="1"/>
    </xf>
    <xf numFmtId="0" fontId="50" fillId="13" borderId="12" xfId="0" applyFont="1" applyFill="1" applyBorder="1" applyAlignment="1">
      <alignment horizontal="center" vertical="center"/>
    </xf>
    <xf numFmtId="0" fontId="60" fillId="13" borderId="40" xfId="0" applyFont="1" applyFill="1" applyBorder="1" applyAlignment="1">
      <alignment horizontal="center" vertical="center"/>
    </xf>
    <xf numFmtId="0" fontId="60" fillId="13" borderId="12" xfId="0" applyFont="1" applyFill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3" borderId="41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44" fillId="14" borderId="0" xfId="0" applyFont="1" applyFill="1" applyAlignment="1">
      <alignment vertical="center"/>
    </xf>
    <xf numFmtId="0" fontId="1" fillId="14" borderId="0" xfId="0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5" borderId="18" xfId="0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left" vertical="center" indent="1"/>
    </xf>
    <xf numFmtId="0" fontId="0" fillId="15" borderId="2" xfId="0" applyFill="1" applyBorder="1" applyAlignment="1">
      <alignment vertical="center"/>
    </xf>
    <xf numFmtId="0" fontId="2" fillId="15" borderId="3" xfId="0" applyFont="1" applyFill="1" applyBorder="1" applyAlignment="1">
      <alignment horizontal="center" vertical="center"/>
    </xf>
    <xf numFmtId="0" fontId="30" fillId="15" borderId="0" xfId="0" applyFont="1" applyFill="1" applyAlignment="1" applyProtection="1">
      <alignment horizontal="center" vertical="center" wrapText="1"/>
      <protection hidden="1"/>
    </xf>
    <xf numFmtId="0" fontId="21" fillId="15" borderId="0" xfId="0" applyFont="1" applyFill="1" applyAlignment="1" applyProtection="1">
      <alignment vertical="center" wrapText="1"/>
      <protection hidden="1"/>
    </xf>
    <xf numFmtId="0" fontId="20" fillId="15" borderId="1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vertical="center"/>
    </xf>
    <xf numFmtId="49" fontId="80" fillId="15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/>
    </xf>
    <xf numFmtId="0" fontId="30" fillId="13" borderId="0" xfId="0" applyFont="1" applyFill="1" applyAlignment="1" applyProtection="1">
      <alignment horizontal="center" vertical="center" wrapText="1"/>
      <protection hidden="1"/>
    </xf>
    <xf numFmtId="0" fontId="21" fillId="13" borderId="0" xfId="0" applyFont="1" applyFill="1" applyAlignment="1" applyProtection="1">
      <alignment horizontal="center" vertical="center"/>
      <protection hidden="1"/>
    </xf>
    <xf numFmtId="0" fontId="0" fillId="13" borderId="18" xfId="0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0" fillId="13" borderId="0" xfId="0" applyFill="1"/>
    <xf numFmtId="0" fontId="2" fillId="13" borderId="0" xfId="0" applyFont="1" applyFill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13" borderId="0" xfId="0" applyFont="1" applyFill="1" applyAlignment="1">
      <alignment horizontal="right" vertical="center" indent="1"/>
    </xf>
    <xf numFmtId="0" fontId="0" fillId="13" borderId="0" xfId="0" applyFill="1" applyAlignment="1">
      <alignment horizontal="right" vertical="center" indent="1"/>
    </xf>
    <xf numFmtId="0" fontId="5" fillId="13" borderId="0" xfId="0" applyFont="1" applyFill="1" applyAlignment="1" applyProtection="1">
      <alignment horizontal="center" vertical="center"/>
      <protection hidden="1"/>
    </xf>
    <xf numFmtId="0" fontId="33" fillId="13" borderId="0" xfId="0" applyFont="1" applyFill="1" applyAlignment="1" applyProtection="1">
      <alignment vertical="center" wrapText="1"/>
      <protection hidden="1"/>
    </xf>
    <xf numFmtId="0" fontId="10" fillId="13" borderId="0" xfId="0" applyFont="1" applyFill="1" applyAlignment="1" applyProtection="1">
      <alignment vertical="center" wrapText="1"/>
      <protection hidden="1"/>
    </xf>
    <xf numFmtId="0" fontId="39" fillId="13" borderId="0" xfId="0" applyFont="1" applyFill="1" applyAlignment="1">
      <alignment horizontal="right" vertical="center" indent="1"/>
    </xf>
    <xf numFmtId="0" fontId="14" fillId="13" borderId="0" xfId="0" applyFont="1" applyFill="1" applyAlignment="1">
      <alignment horizontal="right" vertical="center" indent="1"/>
    </xf>
    <xf numFmtId="0" fontId="1" fillId="13" borderId="6" xfId="0" applyFont="1" applyFill="1" applyBorder="1" applyAlignment="1" applyProtection="1">
      <alignment horizontal="left" vertical="center" wrapText="1"/>
      <protection hidden="1"/>
    </xf>
    <xf numFmtId="0" fontId="2" fillId="13" borderId="28" xfId="0" applyFont="1" applyFill="1" applyBorder="1" applyAlignment="1">
      <alignment vertical="center"/>
    </xf>
    <xf numFmtId="0" fontId="14" fillId="10" borderId="81" xfId="0" applyFont="1" applyFill="1" applyBorder="1" applyAlignment="1">
      <alignment horizontal="right" vertical="center" indent="1"/>
    </xf>
    <xf numFmtId="0" fontId="5" fillId="13" borderId="81" xfId="0" applyFont="1" applyFill="1" applyBorder="1" applyAlignment="1" applyProtection="1">
      <alignment horizontal="center" vertical="center"/>
      <protection hidden="1"/>
    </xf>
    <xf numFmtId="0" fontId="2" fillId="13" borderId="81" xfId="0" applyFont="1" applyFill="1" applyBorder="1" applyAlignment="1">
      <alignment vertical="center"/>
    </xf>
    <xf numFmtId="0" fontId="79" fillId="13" borderId="82" xfId="0" applyFont="1" applyFill="1" applyBorder="1" applyAlignment="1">
      <alignment horizontal="right" vertical="top"/>
    </xf>
    <xf numFmtId="0" fontId="40" fillId="13" borderId="20" xfId="0" applyFont="1" applyFill="1" applyBorder="1" applyAlignment="1">
      <alignment horizontal="right" vertical="top"/>
    </xf>
    <xf numFmtId="165" fontId="5" fillId="13" borderId="0" xfId="0" applyNumberFormat="1" applyFont="1" applyFill="1" applyAlignment="1" applyProtection="1">
      <alignment horizontal="center" vertical="center"/>
      <protection hidden="1"/>
    </xf>
    <xf numFmtId="0" fontId="2" fillId="13" borderId="0" xfId="0" applyFont="1" applyFill="1" applyAlignment="1" applyProtection="1">
      <alignment vertical="center" wrapText="1"/>
      <protection hidden="1"/>
    </xf>
    <xf numFmtId="0" fontId="0" fillId="13" borderId="20" xfId="0" applyFill="1" applyBorder="1" applyAlignment="1">
      <alignment vertical="center"/>
    </xf>
    <xf numFmtId="0" fontId="2" fillId="13" borderId="9" xfId="0" applyFont="1" applyFill="1" applyBorder="1" applyAlignment="1">
      <alignment vertical="center"/>
    </xf>
    <xf numFmtId="0" fontId="2" fillId="13" borderId="8" xfId="0" applyFont="1" applyFill="1" applyBorder="1" applyAlignment="1">
      <alignment horizontal="right" vertical="center" indent="1"/>
    </xf>
    <xf numFmtId="0" fontId="0" fillId="13" borderId="8" xfId="0" applyFill="1" applyBorder="1" applyAlignment="1">
      <alignment horizontal="right" vertical="center" indent="1"/>
    </xf>
    <xf numFmtId="0" fontId="1" fillId="13" borderId="30" xfId="0" applyFont="1" applyFill="1" applyBorder="1" applyAlignment="1" applyProtection="1">
      <alignment vertical="center" wrapText="1"/>
      <protection hidden="1"/>
    </xf>
    <xf numFmtId="0" fontId="43" fillId="13" borderId="8" xfId="0" applyFont="1" applyFill="1" applyBorder="1" applyAlignment="1" applyProtection="1">
      <alignment horizontal="center" vertical="center"/>
      <protection hidden="1"/>
    </xf>
    <xf numFmtId="0" fontId="0" fillId="13" borderId="15" xfId="0" applyFill="1" applyBorder="1" applyAlignment="1">
      <alignment vertical="center"/>
    </xf>
    <xf numFmtId="0" fontId="33" fillId="13" borderId="15" xfId="0" applyFont="1" applyFill="1" applyBorder="1" applyAlignment="1" applyProtection="1">
      <alignment vertical="center" wrapText="1"/>
      <protection hidden="1"/>
    </xf>
    <xf numFmtId="0" fontId="2" fillId="13" borderId="15" xfId="0" applyFont="1" applyFill="1" applyBorder="1" applyAlignment="1" applyProtection="1">
      <alignment vertical="center" wrapText="1"/>
      <protection hidden="1"/>
    </xf>
    <xf numFmtId="0" fontId="0" fillId="13" borderId="19" xfId="0" applyFill="1" applyBorder="1" applyAlignment="1">
      <alignment vertical="center"/>
    </xf>
    <xf numFmtId="0" fontId="2" fillId="13" borderId="29" xfId="0" applyFont="1" applyFill="1" applyBorder="1" applyAlignment="1">
      <alignment horizontal="right" vertical="center" indent="1"/>
    </xf>
    <xf numFmtId="0" fontId="0" fillId="13" borderId="29" xfId="0" applyFill="1" applyBorder="1" applyAlignment="1">
      <alignment horizontal="right" vertical="center" indent="1"/>
    </xf>
    <xf numFmtId="0" fontId="9" fillId="13" borderId="21" xfId="0" applyFont="1" applyFill="1" applyBorder="1" applyAlignment="1">
      <alignment vertical="center"/>
    </xf>
    <xf numFmtId="0" fontId="9" fillId="13" borderId="16" xfId="0" applyFont="1" applyFill="1" applyBorder="1" applyAlignment="1">
      <alignment vertical="center"/>
    </xf>
    <xf numFmtId="0" fontId="0" fillId="13" borderId="16" xfId="0" applyFill="1" applyBorder="1" applyAlignment="1">
      <alignment vertical="center"/>
    </xf>
    <xf numFmtId="0" fontId="10" fillId="13" borderId="16" xfId="0" applyFont="1" applyFill="1" applyBorder="1" applyAlignment="1" applyProtection="1">
      <alignment vertical="center"/>
      <protection hidden="1"/>
    </xf>
    <xf numFmtId="0" fontId="30" fillId="13" borderId="16" xfId="0" applyFont="1" applyFill="1" applyBorder="1" applyProtection="1">
      <protection hidden="1"/>
    </xf>
    <xf numFmtId="0" fontId="24" fillId="13" borderId="16" xfId="0" applyFont="1" applyFill="1" applyBorder="1" applyProtection="1">
      <protection hidden="1"/>
    </xf>
    <xf numFmtId="0" fontId="36" fillId="13" borderId="17" xfId="0" applyFont="1" applyFill="1" applyBorder="1" applyAlignment="1">
      <alignment horizontal="right" vertical="center"/>
    </xf>
    <xf numFmtId="0" fontId="19" fillId="13" borderId="23" xfId="0" applyFont="1" applyFill="1" applyBorder="1" applyAlignment="1" applyProtection="1">
      <alignment vertical="center"/>
      <protection hidden="1"/>
    </xf>
    <xf numFmtId="0" fontId="0" fillId="13" borderId="0" xfId="0" applyFill="1" applyAlignment="1" applyProtection="1">
      <alignment vertical="center"/>
      <protection hidden="1"/>
    </xf>
    <xf numFmtId="0" fontId="30" fillId="13" borderId="0" xfId="0" applyFont="1" applyFill="1" applyAlignment="1" applyProtection="1">
      <alignment vertical="top"/>
      <protection hidden="1"/>
    </xf>
    <xf numFmtId="0" fontId="24" fillId="13" borderId="0" xfId="0" applyFont="1" applyFill="1" applyAlignment="1" applyProtection="1">
      <alignment vertical="top"/>
      <protection hidden="1"/>
    </xf>
    <xf numFmtId="0" fontId="19" fillId="13" borderId="22" xfId="0" applyFont="1" applyFill="1" applyBorder="1" applyAlignment="1" applyProtection="1">
      <alignment vertical="center"/>
      <protection hidden="1"/>
    </xf>
    <xf numFmtId="0" fontId="0" fillId="13" borderId="15" xfId="0" applyFill="1" applyBorder="1" applyAlignment="1" applyProtection="1">
      <alignment vertical="center"/>
      <protection hidden="1"/>
    </xf>
    <xf numFmtId="0" fontId="25" fillId="13" borderId="15" xfId="0" applyFont="1" applyFill="1" applyBorder="1" applyAlignment="1" applyProtection="1">
      <alignment horizontal="right" vertical="center"/>
      <protection hidden="1"/>
    </xf>
    <xf numFmtId="0" fontId="26" fillId="13" borderId="15" xfId="0" applyFont="1" applyFill="1" applyBorder="1" applyAlignment="1" applyProtection="1">
      <alignment vertical="center"/>
      <protection hidden="1"/>
    </xf>
    <xf numFmtId="0" fontId="14" fillId="13" borderId="19" xfId="0" applyFont="1" applyFill="1" applyBorder="1" applyAlignment="1" applyProtection="1">
      <alignment horizontal="right" vertical="center"/>
      <protection hidden="1"/>
    </xf>
    <xf numFmtId="0" fontId="20" fillId="13" borderId="13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center" indent="1"/>
    </xf>
    <xf numFmtId="0" fontId="22" fillId="13" borderId="8" xfId="0" applyFont="1" applyFill="1" applyBorder="1" applyAlignment="1">
      <alignment horizontal="left" vertical="center" wrapText="1"/>
    </xf>
    <xf numFmtId="4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3" borderId="8" xfId="0" applyFill="1" applyBorder="1" applyAlignment="1" applyProtection="1">
      <alignment horizontal="left" vertical="center" wrapText="1"/>
      <protection hidden="1"/>
    </xf>
    <xf numFmtId="0" fontId="4" fillId="13" borderId="8" xfId="0" applyFont="1" applyFill="1" applyBorder="1" applyAlignment="1" applyProtection="1">
      <alignment horizontal="left" vertical="center"/>
      <protection hidden="1"/>
    </xf>
    <xf numFmtId="0" fontId="0" fillId="13" borderId="9" xfId="0" applyFill="1" applyBorder="1" applyAlignment="1">
      <alignment vertical="center"/>
    </xf>
    <xf numFmtId="0" fontId="2" fillId="13" borderId="9" xfId="0" applyFont="1" applyFill="1" applyBorder="1" applyAlignment="1">
      <alignment horizontal="right" vertical="center" indent="1"/>
    </xf>
    <xf numFmtId="0" fontId="0" fillId="13" borderId="11" xfId="0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5" fillId="13" borderId="4" xfId="0" applyFont="1" applyFill="1" applyBorder="1" applyAlignment="1" applyProtection="1">
      <alignment horizontal="center" vertical="center"/>
      <protection hidden="1"/>
    </xf>
    <xf numFmtId="0" fontId="0" fillId="13" borderId="4" xfId="0" applyFill="1" applyBorder="1" applyAlignment="1" applyProtection="1">
      <alignment vertical="center"/>
      <protection hidden="1"/>
    </xf>
    <xf numFmtId="0" fontId="33" fillId="6" borderId="0" xfId="0" applyFont="1" applyFill="1" applyAlignment="1" applyProtection="1">
      <alignment horizontal="center" vertical="center" wrapText="1"/>
      <protection hidden="1"/>
    </xf>
    <xf numFmtId="0" fontId="38" fillId="7" borderId="0" xfId="0" applyFont="1" applyFill="1" applyAlignment="1" applyProtection="1">
      <alignment vertical="center" wrapText="1"/>
      <protection hidden="1"/>
    </xf>
    <xf numFmtId="0" fontId="14" fillId="15" borderId="2" xfId="0" applyFont="1" applyFill="1" applyBorder="1" applyAlignment="1">
      <alignment horizontal="left" vertical="center" wrapText="1"/>
    </xf>
    <xf numFmtId="0" fontId="43" fillId="0" borderId="5" xfId="0" applyFont="1" applyBorder="1" applyAlignment="1" applyProtection="1">
      <alignment vertical="center" wrapText="1"/>
      <protection locked="0"/>
    </xf>
    <xf numFmtId="0" fontId="0" fillId="17" borderId="0" xfId="0" applyFill="1" applyAlignment="1">
      <alignment vertical="center"/>
    </xf>
    <xf numFmtId="0" fontId="30" fillId="18" borderId="0" xfId="0" applyFont="1" applyFill="1" applyAlignment="1" applyProtection="1">
      <alignment horizontal="center" vertical="center" wrapText="1"/>
      <protection hidden="1"/>
    </xf>
    <xf numFmtId="0" fontId="21" fillId="16" borderId="0" xfId="0" applyFont="1" applyFill="1" applyAlignment="1" applyProtection="1">
      <alignment horizontal="center" vertical="center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3" fillId="13" borderId="0" xfId="0" applyFont="1" applyFill="1" applyAlignment="1" applyProtection="1">
      <alignment horizontal="center" vertical="center" wrapText="1"/>
      <protection hidden="1"/>
    </xf>
    <xf numFmtId="0" fontId="35" fillId="13" borderId="0" xfId="0" applyFont="1" applyFill="1" applyAlignment="1" applyProtection="1">
      <alignment horizontal="center" vertical="center" wrapText="1"/>
      <protection hidden="1"/>
    </xf>
    <xf numFmtId="0" fontId="38" fillId="7" borderId="0" xfId="0" applyFont="1" applyFill="1" applyAlignment="1" applyProtection="1">
      <alignment horizontal="center" vertical="center" wrapText="1"/>
      <protection hidden="1"/>
    </xf>
    <xf numFmtId="0" fontId="33" fillId="13" borderId="81" xfId="0" applyFont="1" applyFill="1" applyBorder="1" applyAlignment="1" applyProtection="1">
      <alignment horizontal="center" vertical="center" wrapText="1"/>
      <protection hidden="1"/>
    </xf>
    <xf numFmtId="0" fontId="35" fillId="13" borderId="8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21" fillId="15" borderId="0" xfId="0" applyFont="1" applyFill="1" applyAlignment="1" applyProtection="1">
      <alignment horizontal="center" vertical="center" wrapText="1"/>
      <protection hidden="1"/>
    </xf>
    <xf numFmtId="0" fontId="2" fillId="13" borderId="0" xfId="0" applyFont="1" applyFill="1" applyAlignment="1" applyProtection="1">
      <alignment horizontal="center" vertical="center" wrapText="1"/>
      <protection hidden="1"/>
    </xf>
    <xf numFmtId="0" fontId="34" fillId="16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0" xfId="0" applyAlignment="1" applyProtection="1">
      <alignment horizontal="left" vertical="top" wrapText="1" indent="1"/>
      <protection locked="0"/>
    </xf>
    <xf numFmtId="0" fontId="65" fillId="13" borderId="0" xfId="0" applyFont="1" applyFill="1" applyAlignment="1" applyProtection="1">
      <alignment horizontal="left" vertical="top" wrapText="1"/>
      <protection hidden="1"/>
    </xf>
    <xf numFmtId="0" fontId="65" fillId="3" borderId="0" xfId="0" applyFont="1" applyFill="1" applyAlignment="1">
      <alignment horizontal="left" vertical="top" wrapText="1"/>
    </xf>
    <xf numFmtId="0" fontId="51" fillId="13" borderId="13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1" fillId="4" borderId="38" xfId="0" applyFont="1" applyFill="1" applyBorder="1" applyAlignment="1">
      <alignment horizontal="center" vertical="center" wrapText="1"/>
    </xf>
    <xf numFmtId="0" fontId="50" fillId="13" borderId="11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50" fillId="4" borderId="39" xfId="0" applyFont="1" applyFill="1" applyBorder="1" applyAlignment="1">
      <alignment horizontal="center" vertical="center" wrapText="1"/>
    </xf>
    <xf numFmtId="0" fontId="72" fillId="3" borderId="49" xfId="0" applyFont="1" applyFill="1" applyBorder="1" applyAlignment="1">
      <alignment horizontal="center" vertical="center" wrapText="1"/>
    </xf>
    <xf numFmtId="0" fontId="72" fillId="3" borderId="50" xfId="0" applyFont="1" applyFill="1" applyBorder="1" applyAlignment="1">
      <alignment horizontal="center" vertical="center" wrapText="1"/>
    </xf>
    <xf numFmtId="0" fontId="72" fillId="3" borderId="52" xfId="0" applyFont="1" applyFill="1" applyBorder="1" applyAlignment="1">
      <alignment horizontal="center" vertical="center" wrapText="1"/>
    </xf>
    <xf numFmtId="0" fontId="72" fillId="3" borderId="54" xfId="0" applyFont="1" applyFill="1" applyBorder="1" applyAlignment="1">
      <alignment horizontal="center" vertical="center" wrapText="1"/>
    </xf>
    <xf numFmtId="0" fontId="72" fillId="3" borderId="55" xfId="0" applyFont="1" applyFill="1" applyBorder="1" applyAlignment="1">
      <alignment horizontal="center" vertical="center" wrapText="1"/>
    </xf>
    <xf numFmtId="0" fontId="72" fillId="3" borderId="56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wrapText="1"/>
    </xf>
    <xf numFmtId="0" fontId="74" fillId="3" borderId="14" xfId="0" applyFont="1" applyFill="1" applyBorder="1" applyAlignment="1">
      <alignment horizontal="center" wrapText="1"/>
    </xf>
    <xf numFmtId="0" fontId="72" fillId="3" borderId="60" xfId="0" applyFont="1" applyFill="1" applyBorder="1" applyAlignment="1">
      <alignment horizontal="center" vertical="center" wrapText="1"/>
    </xf>
    <xf numFmtId="0" fontId="72" fillId="3" borderId="61" xfId="0" applyFont="1" applyFill="1" applyBorder="1" applyAlignment="1">
      <alignment horizontal="center" vertical="center" wrapText="1"/>
    </xf>
    <xf numFmtId="0" fontId="72" fillId="3" borderId="62" xfId="0" applyFont="1" applyFill="1" applyBorder="1" applyAlignment="1">
      <alignment horizontal="center" vertical="center" wrapText="1"/>
    </xf>
    <xf numFmtId="0" fontId="73" fillId="3" borderId="58" xfId="0" applyFont="1" applyFill="1" applyBorder="1" applyAlignment="1">
      <alignment horizontal="center" vertical="center" wrapText="1"/>
    </xf>
    <xf numFmtId="0" fontId="73" fillId="3" borderId="59" xfId="0" applyFont="1" applyFill="1" applyBorder="1" applyAlignment="1">
      <alignment horizontal="center" vertical="center" wrapText="1"/>
    </xf>
    <xf numFmtId="0" fontId="60" fillId="3" borderId="50" xfId="0" applyFont="1" applyFill="1" applyBorder="1" applyAlignment="1">
      <alignment horizontal="center" vertical="center" wrapText="1"/>
    </xf>
    <xf numFmtId="0" fontId="60" fillId="3" borderId="52" xfId="0" applyFont="1" applyFill="1" applyBorder="1" applyAlignment="1">
      <alignment horizontal="center" vertical="center" wrapText="1"/>
    </xf>
    <xf numFmtId="0" fontId="60" fillId="3" borderId="51" xfId="0" applyFont="1" applyFill="1" applyBorder="1" applyAlignment="1">
      <alignment horizontal="center" vertical="center" wrapText="1"/>
    </xf>
    <xf numFmtId="0" fontId="60" fillId="3" borderId="5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0"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CCFF99"/>
      <color rgb="FF990033"/>
      <color rgb="FFFEE8E6"/>
      <color rgb="FFCCFF33"/>
      <color rgb="FF0000CC"/>
      <color rgb="FFFFFFCC"/>
      <color rgb="FF0033CC"/>
      <color rgb="FFFFFFFF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3188871</xdr:colOff>
      <xdr:row>2</xdr:row>
      <xdr:rowOff>80209</xdr:rowOff>
    </xdr:from>
    <xdr:to>
      <xdr:col>4</xdr:col>
      <xdr:colOff>40086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6318" y="421104"/>
          <a:ext cx="15990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J65"/>
  <sheetViews>
    <sheetView showGridLines="0" tabSelected="1" zoomScaleNormal="100" workbookViewId="0">
      <pane ySplit="1" topLeftCell="A2" activePane="bottomLeft" state="frozen"/>
      <selection activeCell="D16" sqref="D16"/>
      <selection pane="bottomLeft" activeCell="D14" sqref="D14"/>
    </sheetView>
  </sheetViews>
  <sheetFormatPr defaultRowHeight="15" x14ac:dyDescent="0.25"/>
  <cols>
    <col min="1" max="1" width="0.42578125" style="1" customWidth="1"/>
    <col min="2" max="2" width="4.42578125" style="1" customWidth="1"/>
    <col min="3" max="3" width="37.7109375" style="1" customWidth="1"/>
    <col min="4" max="4" width="49.5703125" style="1" customWidth="1"/>
    <col min="5" max="5" width="9" style="3" bestFit="1" customWidth="1"/>
    <col min="6" max="6" width="1" style="1" customWidth="1"/>
    <col min="7" max="7" width="21" style="1" customWidth="1"/>
    <col min="8" max="8" width="62" style="1" customWidth="1"/>
    <col min="9" max="10" width="1.140625" style="1" customWidth="1"/>
    <col min="11" max="11" width="10.85546875" style="1" bestFit="1" customWidth="1"/>
    <col min="12" max="16384" width="9.140625" style="1"/>
  </cols>
  <sheetData>
    <row r="1" spans="2:10" ht="27" customHeight="1" x14ac:dyDescent="0.25">
      <c r="B1" s="172" t="s">
        <v>400</v>
      </c>
      <c r="C1" s="256"/>
      <c r="D1" s="256"/>
      <c r="E1" s="173"/>
      <c r="F1" s="174"/>
      <c r="G1" s="257" t="s">
        <v>108</v>
      </c>
      <c r="H1" s="258" t="s">
        <v>109</v>
      </c>
      <c r="I1" s="175"/>
    </row>
    <row r="2" spans="2:10" ht="21" hidden="1" x14ac:dyDescent="0.25">
      <c r="B2" s="186"/>
      <c r="C2" s="187"/>
      <c r="D2" s="187"/>
      <c r="E2" s="188"/>
      <c r="F2" s="187"/>
      <c r="G2" s="189"/>
      <c r="H2" s="190"/>
      <c r="I2" s="191"/>
    </row>
    <row r="3" spans="2:10" ht="23.25" customHeight="1" thickBot="1" x14ac:dyDescent="0.3">
      <c r="B3" s="192" t="s">
        <v>186</v>
      </c>
      <c r="C3" s="193"/>
      <c r="D3" s="193"/>
      <c r="E3" s="192" t="s">
        <v>275</v>
      </c>
      <c r="F3" s="193"/>
      <c r="G3" s="194" t="s">
        <v>142</v>
      </c>
      <c r="H3" s="187"/>
      <c r="I3" s="191"/>
    </row>
    <row r="4" spans="2:10" ht="18.75" customHeight="1" thickBot="1" x14ac:dyDescent="0.3">
      <c r="B4" s="176" t="s">
        <v>40</v>
      </c>
      <c r="C4" s="177" t="s">
        <v>4</v>
      </c>
      <c r="D4" s="178"/>
      <c r="E4" s="179" t="s">
        <v>31</v>
      </c>
      <c r="F4" s="194"/>
      <c r="G4" s="180"/>
      <c r="H4" s="181"/>
      <c r="I4" s="195"/>
      <c r="J4" s="2"/>
    </row>
    <row r="5" spans="2:10" ht="15.75" thickBot="1" x14ac:dyDescent="0.3">
      <c r="B5" s="196">
        <v>5</v>
      </c>
      <c r="C5" s="197" t="s">
        <v>1</v>
      </c>
      <c r="D5" s="75"/>
      <c r="E5" s="198" t="str">
        <f>IF($D$5=Data!A2,Data!B2,IF($D$5=Data!A3,Data!B3,IF($D$5=Data!A4,Data!B4,IF($D$5=Data!A5,Data!B5,IF($D$5=Data!A6,Data!B6,"")))))</f>
        <v/>
      </c>
      <c r="F5" s="194"/>
      <c r="G5" s="199"/>
      <c r="H5" s="200"/>
      <c r="I5" s="195"/>
      <c r="J5" s="2"/>
    </row>
    <row r="6" spans="2:10" ht="15.75" thickBot="1" x14ac:dyDescent="0.3">
      <c r="B6" s="196">
        <v>6</v>
      </c>
      <c r="C6" s="197" t="s">
        <v>143</v>
      </c>
      <c r="D6" s="76"/>
      <c r="E6" s="198" t="str">
        <f>IF(D$6=Data!A8,Data!B8,IF(D$6=Data!A9,Data!B9,""))</f>
        <v/>
      </c>
      <c r="F6" s="194"/>
      <c r="G6" s="252" t="str">
        <f>IF(D6="",IF(OR(E5=1,E5=2),"EKONOMIC oddělené",""),"")</f>
        <v/>
      </c>
      <c r="H6" s="259" t="str">
        <f>IF(OR(E5=1,E5=2),IF(E6="0","Pro měření chladu musí být ODDĚLENÉ provedení průtokoměru!",""),"")</f>
        <v/>
      </c>
      <c r="I6" s="195"/>
      <c r="J6" s="2"/>
    </row>
    <row r="7" spans="2:10" ht="16.5" thickBot="1" x14ac:dyDescent="0.3">
      <c r="B7" s="182" t="s">
        <v>70</v>
      </c>
      <c r="C7" s="177" t="s">
        <v>2</v>
      </c>
      <c r="D7" s="183" t="s">
        <v>70</v>
      </c>
      <c r="E7" s="185" t="s">
        <v>401</v>
      </c>
      <c r="F7" s="194"/>
      <c r="G7" s="180"/>
      <c r="H7" s="181"/>
      <c r="I7" s="195"/>
      <c r="J7" s="2"/>
    </row>
    <row r="8" spans="2:10" ht="15.75" thickBot="1" x14ac:dyDescent="0.3">
      <c r="B8" s="196">
        <v>8</v>
      </c>
      <c r="C8" s="197" t="s">
        <v>77</v>
      </c>
      <c r="D8" s="75"/>
      <c r="E8" s="198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IF(D$8=Data!A35,Data!B35,"")))))))))))))))))))))))))</f>
        <v/>
      </c>
      <c r="F8" s="194"/>
      <c r="G8" s="252" t="str">
        <f>IF(D8="",IF(E5=2,"Nejvýše DN200",""),"")</f>
        <v/>
      </c>
      <c r="H8" s="259" t="str">
        <f>IF(OR(E5=2,E5=4),IF(D8="","",IF(E8&gt;"15","NELZE - Největší možná dimenze pro bezpřírubové čidlo je 200!","")),"")</f>
        <v/>
      </c>
      <c r="I8" s="195"/>
      <c r="J8" s="2"/>
    </row>
    <row r="9" spans="2:10" ht="15.75" thickBot="1" x14ac:dyDescent="0.3">
      <c r="B9" s="196">
        <v>9</v>
      </c>
      <c r="C9" s="201" t="str">
        <f>IF(OR(E5=2,E5=4),"Protipříruby na potrubí","Příruby čidla")</f>
        <v>Příruby čidla</v>
      </c>
      <c r="D9" s="77"/>
      <c r="E9" s="198" t="str">
        <f>IF(D$9=Data!A37,Data!B37,IF(D$9=Data!A38,Data!B38,IF(D$9=Data!A39,Data!B39,IF(D$9=Data!A40,Data!B40,IF(D$9=Data!A41,Data!B41,IF(D$9=Data!A42,Data!B42,IF(D$9=Data!A43,Data!B43,"")))))))</f>
        <v/>
      </c>
      <c r="F9" s="194"/>
      <c r="G9" s="260"/>
      <c r="H9" s="259" t="str">
        <f>IF(E8="xx","",IF(E8&gt;"22",IF(D9="","",IF(E9=2,"NELZE - Příruby ASME lze použít jen pro dimenze DN600 nebo menší!","")),IF(E8&lt;"23",IF(D9="","",IF(E9=4,"NELZE - Příruby AWWA použijte jen pro dimenze DN700 nebo větší!","")),"")))</f>
        <v/>
      </c>
      <c r="I9" s="195"/>
      <c r="J9" s="2"/>
    </row>
    <row r="10" spans="2:10" ht="15.75" thickBot="1" x14ac:dyDescent="0.3">
      <c r="B10" s="196">
        <v>10</v>
      </c>
      <c r="C10" s="197" t="s">
        <v>36</v>
      </c>
      <c r="D10" s="77"/>
      <c r="E10" s="198" t="str">
        <f>IF(D$10=Data!A45,Data!B45,IF(D$10=Data!A46,Data!B46,IF(D$10=Data!A47,Data!B47,IF(D$10=Data!A48,Data!B48,""))))</f>
        <v/>
      </c>
      <c r="F10" s="194"/>
      <c r="G10" s="260"/>
      <c r="H10" s="261"/>
      <c r="I10" s="195"/>
      <c r="J10" s="2"/>
    </row>
    <row r="11" spans="2:10" ht="15.75" thickBot="1" x14ac:dyDescent="0.3">
      <c r="B11" s="196">
        <v>11</v>
      </c>
      <c r="C11" s="197" t="s">
        <v>79</v>
      </c>
      <c r="D11" s="77"/>
      <c r="E11" s="198" t="str">
        <f>IF(D$11=Data!A50,Data!B50,IF(D$11=Data!A51,Data!B51,IF(D$11=Data!A52,Data!B52,IF(D$11=Data!A53,Data!B53,IF(D$11=Data!A54,Data!B54,IF(D$11=Data!A55,Data!B55,""))))))</f>
        <v/>
      </c>
      <c r="F11" s="194"/>
      <c r="G11" s="260"/>
      <c r="H11" s="261"/>
      <c r="I11" s="195"/>
      <c r="J11" s="2"/>
    </row>
    <row r="12" spans="2:10" ht="15.75" thickBot="1" x14ac:dyDescent="0.3">
      <c r="B12" s="196">
        <v>12</v>
      </c>
      <c r="C12" s="197" t="s">
        <v>33</v>
      </c>
      <c r="D12" s="77"/>
      <c r="E12" s="198" t="str">
        <f>IF(D$12=Data!A57,Data!B57,IF(D$12=Data!A58,Data!B58,IF(D$12=Data!A59,Data!B59,IF(D$12=Data!A60,Data!B60,IF(D$12=Data!A61,Data!B61,IF(D$12=Data!A62,Data!B62,IF(D$12=Data!A63,Data!B63,"")))))))</f>
        <v/>
      </c>
      <c r="F12" s="194"/>
      <c r="G12" s="252" t="str">
        <f>IF(D12="",IF(E8="01","PVDF",IF(E8="02","PVDF",IF(E8="03","PVDF",""))),"")</f>
        <v/>
      </c>
      <c r="H12" s="259" t="str">
        <f>IF(E8="XX","",IF(E12=1,IF(E8&gt;"05","","Dimenze neodpovídá vybrané výstelce!"),IF(E12=2,IF(E8&gt;"05","","Dimenze neodpovídá vybrané výstelce!"),IF(E12=3,IF(E8&gt;"07","","Dimenze neodpovídá vybrané výstelce!"),IF(E12=4,IF(E8&gt;"03","","Dimenze neodpovídá vybrané výstelce!"),IF(E12=5,IF(E8&gt;"16","","Dimenze neodpovídá vybrané výstelce!"),IF(E12=6,IF(E8&lt;"04","","Dimenze neodpovídá vybrané výstelce!"),"")))))))</f>
        <v/>
      </c>
      <c r="I12" s="195"/>
      <c r="J12" s="2"/>
    </row>
    <row r="13" spans="2:10" ht="15.75" thickBot="1" x14ac:dyDescent="0.3">
      <c r="B13" s="196">
        <v>13</v>
      </c>
      <c r="C13" s="197" t="s">
        <v>34</v>
      </c>
      <c r="D13" s="77"/>
      <c r="E13" s="198" t="str">
        <f>IF(D$13=Data!A65,Data!B65,IF(D$13=Data!A66,Data!B66,IF(D$13=Data!A67,Data!B67,"")))</f>
        <v/>
      </c>
      <c r="F13" s="194"/>
      <c r="G13" s="252" t="str">
        <f>IF(D13="",IF(E6="0","IP 65",""),"")</f>
        <v/>
      </c>
      <c r="H13" s="259" t="str">
        <f>IF(OR(E13=1,E13=2),IF(E6="0","CHYBA - u kompaktního provedení lze provést jen IP 65!",""),"")</f>
        <v/>
      </c>
      <c r="I13" s="195"/>
      <c r="J13" s="2"/>
    </row>
    <row r="14" spans="2:10" ht="15.75" thickBot="1" x14ac:dyDescent="0.3">
      <c r="B14" s="196">
        <v>14</v>
      </c>
      <c r="C14" s="197" t="s">
        <v>144</v>
      </c>
      <c r="D14" s="78"/>
      <c r="E14" s="198" t="str">
        <f>IF(D$14=Data!A69,Data!B69,IF(D$14=Data!A70,Data!B70,""))</f>
        <v/>
      </c>
      <c r="F14" s="194"/>
      <c r="G14" s="260"/>
      <c r="H14" s="259" t="str">
        <f>IF(D14="","",IF(E14=1,IF(E8&gt;"04","","CHYBA - Nejmenší dimenze pro zemnicí elektrodu je 20!"),""))</f>
        <v/>
      </c>
      <c r="I14" s="195"/>
      <c r="J14" s="2"/>
    </row>
    <row r="15" spans="2:10" ht="15.75" thickBot="1" x14ac:dyDescent="0.3">
      <c r="B15" s="196">
        <v>15</v>
      </c>
      <c r="C15" s="197" t="s">
        <v>253</v>
      </c>
      <c r="D15" s="78"/>
      <c r="E15" s="198" t="str">
        <f>IF(D$15=Data!A72,Data!B72,IF(D$15=Data!A73,Data!B73,IF(D$15=Data!A74,Data!B74,IF(D$15=Data!A75,Data!B75,IF(D$15=Data!A76,Data!B76,IF(D$15=Data!A77,Data!B77,""))))))</f>
        <v/>
      </c>
      <c r="F15" s="194"/>
      <c r="G15" s="260" t="str">
        <f>IF(D15="",IF(E8="XX","Nestandardní",IF(E8&gt;="23","PN 6",IF(E8&gt;="16","PN 10",IF(E8&gt;="10","PN 16",IF(E8&gt;="04","PN 40",IF(E8&gt;="01","PN 25","")))))),"")</f>
        <v/>
      </c>
      <c r="H15" s="262" t="str">
        <f>IF(E8="XX","",IF(E15="X","",IF(D15="","",IF(E8&gt;="23",IF(E15=1,"","Kombinace dimenze a tlaku není ve standardním výrobním programu."),IF(E8&gt;="16",IF(E15=2,"","Kombinace dimenze a tlaku není ve standardním výrobním programu."),IF(E8&gt;="10",IF(E15=3,"","Tato kombinace dimenze a tlaku není ve standardním výrobním programu."),IF(E8&gt;="04",IF(E15=5,"","Tato kombinace dimenze a tlaku není ve standardním výrobním programu."),IF(E8&gt;="01",IF(E15=4,"","Tato kombinace dimenze a tlaku není ve standardním výrobním programu."),""))))))))</f>
        <v/>
      </c>
      <c r="I15" s="195"/>
      <c r="J15" s="2"/>
    </row>
    <row r="16" spans="2:10" ht="18.75" thickBot="1" x14ac:dyDescent="0.3">
      <c r="B16" s="196">
        <v>16</v>
      </c>
      <c r="C16" s="202" t="s">
        <v>251</v>
      </c>
      <c r="D16" s="77"/>
      <c r="E16" s="198" t="str">
        <f>IF(D$16=Data!A79,Data!B79,IF(D$16=Data!A80,Data!B80,IF(D$16=Data!A81,Data!B81,IF(D$16=Data!A82,Data!B82,IF(D$16=Data!A83,Data!B83,IF(D$16=Data!A84,Data!B84,IF(D$16=Data!A85,Data!B85,IF(D$16=Data!A86,Data!B86,IF(D$16=Data!A87,Data!B87,IF(D$16=Data!A88,Data!B88,""))))))))))</f>
        <v/>
      </c>
      <c r="F16" s="194"/>
      <c r="G16" s="260" t="str">
        <f>IF(D16="",IF(E6=0,"Max. 60 °C",IF(E6=4,"Max. 60 °C","")),"")</f>
        <v/>
      </c>
      <c r="H16" s="259" t="str">
        <f>IF(D16="","",IF(E16="x","",IF(E6="0",IF(OR(E16&lt;=3,E5="x"),"",IF(OR(E5=3,E5=4),IF(E12&lt;=3,IF(E16&lt;=4,"","Zvolená teplota neodpovídá materiálu výstelky!"),IF(OR(E12=5,E12=6),IF(E16&lt;=7,"","Zvolená teplota neodpovídá materiálu výstelky!"),"")),"Max. teplota pro měření chladu při kompaktním provedení je 70 °C!")),IF(E12&lt;=3,IF(E16&lt;=4,"","Zvolená teplota neodpovídá materiálu výstelky!"),IF(OR(E12=5,E12=6),IF(E16&lt;=7,"","Zvolená teplota neodpovídá materiálu výstelky!"),"")))))</f>
        <v/>
      </c>
      <c r="I16" s="195"/>
      <c r="J16" s="2"/>
    </row>
    <row r="17" spans="2:10" ht="18.75" thickBot="1" x14ac:dyDescent="0.3">
      <c r="B17" s="196">
        <v>17</v>
      </c>
      <c r="C17" s="202" t="s">
        <v>252</v>
      </c>
      <c r="D17" s="79"/>
      <c r="E17" s="198" t="str">
        <f>IF(D17=Data!A90,Data!B90,IF(D17=Data!A91,Data!B91,""))</f>
        <v/>
      </c>
      <c r="F17" s="194"/>
      <c r="G17" s="260"/>
      <c r="H17" s="261"/>
      <c r="I17" s="195"/>
      <c r="J17" s="2"/>
    </row>
    <row r="18" spans="2:10" ht="15.75" thickBot="1" x14ac:dyDescent="0.3">
      <c r="B18" s="196">
        <v>18</v>
      </c>
      <c r="C18" s="197" t="s">
        <v>41</v>
      </c>
      <c r="D18" s="79"/>
      <c r="E18" s="198" t="str">
        <f>IF(D18=Data!A93,Data!B93,IF(D18=Data!A94,Data!B94,IF(D18=Data!A95,Data!B95,"")))</f>
        <v/>
      </c>
      <c r="F18" s="194"/>
      <c r="G18" s="261"/>
      <c r="H18" s="261"/>
      <c r="I18" s="195"/>
      <c r="J18" s="2"/>
    </row>
    <row r="19" spans="2:10" ht="15.75" thickBot="1" x14ac:dyDescent="0.3">
      <c r="B19" s="196">
        <v>19</v>
      </c>
      <c r="C19" s="197" t="s">
        <v>150</v>
      </c>
      <c r="D19" s="203" t="str">
        <f>IF(D13="","","IP 65")</f>
        <v/>
      </c>
      <c r="E19" s="198" t="str">
        <f>IF(D19=Data!A97,Data!B97,"")</f>
        <v/>
      </c>
      <c r="F19" s="194"/>
      <c r="G19" s="261"/>
      <c r="H19" s="261"/>
      <c r="I19" s="195"/>
      <c r="J19" s="2"/>
    </row>
    <row r="20" spans="2:10" ht="15.75" thickBot="1" x14ac:dyDescent="0.3">
      <c r="B20" s="196">
        <v>20</v>
      </c>
      <c r="C20" s="197" t="s">
        <v>98</v>
      </c>
      <c r="D20" s="80"/>
      <c r="E20" s="198" t="str">
        <f>IF(D20=Data!A99,Data!B99,IF(D20=Data!A100,Data!B100,IF(D20=Data!A101,Data!B101,IF(D20=Data!A102,Data!B102,IF(D20=Data!A103,Data!B103,IF(D20=Data!A104,Data!B104,""))))))</f>
        <v/>
      </c>
      <c r="F20" s="194"/>
      <c r="G20" s="260"/>
      <c r="H20" s="261"/>
      <c r="I20" s="195"/>
      <c r="J20" s="2"/>
    </row>
    <row r="21" spans="2:10" ht="15.75" thickBot="1" x14ac:dyDescent="0.3">
      <c r="B21" s="196">
        <v>21</v>
      </c>
      <c r="C21" s="201" t="s">
        <v>100</v>
      </c>
      <c r="D21" s="81"/>
      <c r="E21" s="198" t="str">
        <f>IF(E20=0,0,IF(D21=Data!A106,Data!B106,IF(D21=Data!A107,Data!B107,IF(D21=Data!A108,Data!B108,IF(D21=Data!A109,Data!B109,IF(D21=Data!A110,Data!B110,""))))))</f>
        <v/>
      </c>
      <c r="F21" s="194"/>
      <c r="G21" s="260"/>
      <c r="H21" s="259" t="str">
        <f>IF(E20=0,IF(D21="","","CHYBA - PED není požadováno, údaj musí být prázdný!"),"")</f>
        <v/>
      </c>
      <c r="I21" s="204"/>
      <c r="J21" s="2"/>
    </row>
    <row r="22" spans="2:10" ht="15.75" thickBot="1" x14ac:dyDescent="0.3">
      <c r="B22" s="196">
        <v>22</v>
      </c>
      <c r="C22" s="205" t="s">
        <v>157</v>
      </c>
      <c r="D22" s="81"/>
      <c r="E22" s="206" t="str">
        <f>IF(D22=Data!A112,Data!B112,IF(D22=Data!A113,Data!B113,""))</f>
        <v/>
      </c>
      <c r="F22" s="207"/>
      <c r="G22" s="263"/>
      <c r="H22" s="264"/>
      <c r="I22" s="208" t="s">
        <v>126</v>
      </c>
      <c r="J22" s="2"/>
    </row>
    <row r="23" spans="2:10" ht="15.75" thickBot="1" x14ac:dyDescent="0.3">
      <c r="B23" s="196">
        <v>23</v>
      </c>
      <c r="C23" s="197" t="s">
        <v>99</v>
      </c>
      <c r="D23" s="81"/>
      <c r="E23" s="198" t="str">
        <f>IF(D23="",IF(D24="","",0),1)</f>
        <v/>
      </c>
      <c r="F23" s="194"/>
      <c r="G23" s="260"/>
      <c r="H23" s="261"/>
      <c r="I23" s="209"/>
      <c r="J23" s="2"/>
    </row>
    <row r="24" spans="2:10" ht="15.75" thickBot="1" x14ac:dyDescent="0.3">
      <c r="B24" s="196">
        <v>24</v>
      </c>
      <c r="C24" s="197" t="s">
        <v>112</v>
      </c>
      <c r="D24" s="77"/>
      <c r="E24" s="198" t="str">
        <f>IF(D$24=Data!A117,Data!B117,IF(D$24=Data!A118,Data!B118,""))</f>
        <v/>
      </c>
      <c r="F24" s="194"/>
      <c r="G24" s="252" t="str">
        <f>IF(D24="",IF(E14=1,"Bez zemnicích kroužků",""),"")</f>
        <v/>
      </c>
      <c r="H24" s="265" t="str">
        <f>IF(D24="","",IF(E24=0,"",IF(E11=E24,"","Materiál elektrod a zemnících kroužků by měl být stejný.")))</f>
        <v/>
      </c>
      <c r="I24" s="195"/>
      <c r="J24" s="2"/>
    </row>
    <row r="25" spans="2:10" ht="15.75" thickBot="1" x14ac:dyDescent="0.3">
      <c r="B25" s="196">
        <v>25</v>
      </c>
      <c r="C25" s="201" t="s">
        <v>101</v>
      </c>
      <c r="D25" s="81"/>
      <c r="E25" s="198" t="str">
        <f>IF(E6="0",0,IF(E6=4,0,IF(D$25=Data!A121,Data!B121,IF(D$25=Data!A122,Data!B122,IF(D$25=Data!A123,Data!B123,IF(D$25=Data!A124,Data!B124,IF(D$25=Data!A125,Data!B125,IF(D$25=Data!A126,Data!B126,IF(D$25=Data!A127,Data!B127,IF(D$25=Data!A128,Data!B128,IF(D$25=Data!A129,Data!B129,"")))))))))))</f>
        <v/>
      </c>
      <c r="F25" s="194"/>
      <c r="G25" s="260"/>
      <c r="H25" s="259" t="str">
        <f>IF(D25="","",IF(E6="0",IF(D25="","","CHYBA - Ke kompaktnímu provedení nepatří kabel! Hodnotu smažte!"),""))</f>
        <v/>
      </c>
      <c r="I25" s="195"/>
      <c r="J25" s="2"/>
    </row>
    <row r="26" spans="2:10" ht="16.5" thickBot="1" x14ac:dyDescent="0.3">
      <c r="B26" s="182" t="s">
        <v>70</v>
      </c>
      <c r="C26" s="177" t="s">
        <v>43</v>
      </c>
      <c r="D26" s="183" t="s">
        <v>70</v>
      </c>
      <c r="E26" s="185" t="s">
        <v>0</v>
      </c>
      <c r="F26" s="194"/>
      <c r="G26" s="180"/>
      <c r="H26" s="266"/>
      <c r="I26" s="195"/>
      <c r="J26" s="2"/>
    </row>
    <row r="27" spans="2:10" ht="15.75" thickBot="1" x14ac:dyDescent="0.3">
      <c r="B27" s="196">
        <v>27</v>
      </c>
      <c r="C27" s="197" t="s">
        <v>115</v>
      </c>
      <c r="D27" s="9"/>
      <c r="E27" s="198" t="str">
        <f>IF(D27=Data!A131,Data!B131,IF(D27=Data!A132,Data!B132,IF(D27=Data!A133,Data!B133,"")))</f>
        <v/>
      </c>
      <c r="F27" s="194"/>
      <c r="G27" s="260"/>
      <c r="H27" s="261"/>
      <c r="I27" s="195"/>
      <c r="J27" s="2"/>
    </row>
    <row r="28" spans="2:10" ht="15.75" thickBot="1" x14ac:dyDescent="0.3">
      <c r="B28" s="196">
        <v>28</v>
      </c>
      <c r="C28" s="201" t="s">
        <v>116</v>
      </c>
      <c r="D28" s="10"/>
      <c r="E28" s="198" t="str">
        <f>IF(E27=0,"00",IF(D28=Data!A136,Data!B136,IF(D28=Data!A137,Data!B137,IF(D28=Data!A138,Data!B138,IF(D28=Data!A139,Data!B139,IF(D28=Data!A140,Data!B140,IF(D28=Data!A141,Data!B141,IF(D28=Data!A142,Data!B142,IF(D28=Data!A143,Data!B143,IF(D28=Data!A144,Data!B144,IF(D28=Data!A145,Data!B145,IF(D28=Data!A146,Data!B146,IF(D28=Data!A147,Data!B147,IF(D28=Data!A148,Data!B148,IF(D28=Data!A149,Data!B149,"")))))))))))))))</f>
        <v/>
      </c>
      <c r="F28" s="194"/>
      <c r="G28" s="260"/>
      <c r="H28" s="259" t="str">
        <f>IF(E27=0,IF(D28="","","CHYBA - Impulzní číslo není požadováno, údaj musí být prázdný!"),"")</f>
        <v/>
      </c>
      <c r="I28" s="195"/>
      <c r="J28" s="2"/>
    </row>
    <row r="29" spans="2:10" ht="15.75" thickBot="1" x14ac:dyDescent="0.3">
      <c r="B29" s="196">
        <v>29</v>
      </c>
      <c r="C29" s="197" t="s">
        <v>254</v>
      </c>
      <c r="D29" s="10"/>
      <c r="E29" s="198" t="str">
        <f>IF(D29=Data!A151,Data!B151,IF(D29=Data!A152,Data!B152,IF(D29=Data!A153,Data!B153,IF(D29=Data!A154,Data!B154,IF(D29=Data!A155,Data!B155,IF(D29=Data!A156,Data!B156,IF(D29=Data!A157,Data!B157,IF(D29=Data!A158,Data!B158,IF(D29=Data!A159,Data!B159,IF(D29=Data!A160,Data!B160,IF(D29=Data!A161,Data!B161,IF(D29=Data!A162,Data!B162,IF(D29=Data!A163,Data!B163,IF(D29=Data!A164,Data!B164,""))))))))))))))</f>
        <v/>
      </c>
      <c r="F29" s="194"/>
      <c r="G29" s="260"/>
      <c r="H29" s="261"/>
      <c r="I29" s="195"/>
      <c r="J29" s="2"/>
    </row>
    <row r="30" spans="2:10" ht="15.75" thickBot="1" x14ac:dyDescent="0.3">
      <c r="B30" s="196">
        <v>30</v>
      </c>
      <c r="C30" s="197" t="s">
        <v>255</v>
      </c>
      <c r="D30" s="10"/>
      <c r="E30" s="198" t="str">
        <f>IF(D30=Data!A166,Data!B166,IF(D30=Data!A167,Data!B167,IF(D30=Data!A168,Data!B168,IF(D30=Data!A169,Data!B169,IF(D30=Data!A170,Data!B170,IF(D30=Data!A171,Data!B171,IF(D30=Data!A172,Data!B172,IF(D30=Data!A173,Data!B173,IF(D30=Data!A174,Data!B174,IF(D30=Data!A175,Data!B175,IF(D30=Data!A176,Data!B176,IF(D30=Data!A177,Data!B177,IF(D30=Data!A178,Data!B178,IF(D30=Data!A179,Data!B179,IF(D30=Data!A180,Data!B180,IF(D30=Data!A181,Data!B181,IF(D30=Data!A182,Data!B182,IF(D30=Data!A183,Data!B183,IF(D30=Data!A184,Data!B184,IF(D30=Data!A185,Data!B185,IF(D30=Data!A186,Data!B186,IF(D30=Data!A187,Data!B187,IF(D30=Data!A188,Data!B188,IF(D30=Data!A189,Data!B189,IF(D30=Data!A190,Data!B190,IF(D30=Data!A191,Data!B191,""))))))))))))))))))))))))))</f>
        <v/>
      </c>
      <c r="F30" s="194"/>
      <c r="G30" s="260"/>
      <c r="H30" s="261"/>
      <c r="I30" s="195"/>
      <c r="J30" s="2"/>
    </row>
    <row r="31" spans="2:10" ht="15.75" thickBot="1" x14ac:dyDescent="0.3">
      <c r="B31" s="196">
        <v>31</v>
      </c>
      <c r="C31" s="197" t="s">
        <v>46</v>
      </c>
      <c r="D31" s="9"/>
      <c r="E31" s="198" t="str">
        <f>IF(D31=Data!A193,Data!B193,IF(D31=Data!A194,Data!B194,IF(D31=Data!A195,Data!B195,IF(D31=Data!A196,Data!B196,IF(D31=Data!A197,Data!B197,IF(D31=Data!A198,Data!B198,IF(D31=Data!A199,Data!B199,"")))))))</f>
        <v/>
      </c>
      <c r="F31" s="194"/>
      <c r="G31" s="260"/>
      <c r="H31" s="261"/>
      <c r="I31" s="195"/>
      <c r="J31" s="2"/>
    </row>
    <row r="32" spans="2:10" ht="15.75" thickBot="1" x14ac:dyDescent="0.3">
      <c r="B32" s="196">
        <v>32</v>
      </c>
      <c r="C32" s="197" t="s">
        <v>45</v>
      </c>
      <c r="D32" s="10"/>
      <c r="E32" s="198" t="str">
        <f>IF(D32=Data!A201,Data!B201,IF(D32=Data!A202,Data!B202,IF(D32=Data!A203,Data!B203,"")))</f>
        <v/>
      </c>
      <c r="F32" s="194"/>
      <c r="G32" s="260"/>
      <c r="H32" s="261"/>
      <c r="I32" s="195"/>
      <c r="J32" s="2"/>
    </row>
    <row r="33" spans="2:10" ht="15.75" thickBot="1" x14ac:dyDescent="0.3">
      <c r="B33" s="196">
        <v>33</v>
      </c>
      <c r="C33" s="197" t="s">
        <v>162</v>
      </c>
      <c r="D33" s="16"/>
      <c r="E33" s="198" t="str">
        <f>IF(D33=Data!A205,Data!B205,IF(D33=Data!A206,Data!B206,""))</f>
        <v/>
      </c>
      <c r="F33" s="194"/>
      <c r="G33" s="260"/>
      <c r="H33" s="261"/>
      <c r="I33" s="195"/>
      <c r="J33" s="2"/>
    </row>
    <row r="34" spans="2:10" ht="15.75" thickBot="1" x14ac:dyDescent="0.3">
      <c r="B34" s="196">
        <v>34</v>
      </c>
      <c r="C34" s="197" t="s">
        <v>379</v>
      </c>
      <c r="D34" s="10"/>
      <c r="E34" s="198" t="str">
        <f>IF(D$34=Data!A208,Data!B208,IF(D$34=Data!A209,Data!B209,IF(D$34=Data!A210,Data!B210,IF(D$34=Data!A211,Data!B211,IF(D$34=Data!A212,Data!B212,IF(D$34=Data!A213,Data!B213,IF(D$34=Data!A214,Data!B214,IF(D$34=Data!A215,Data!B215,IF(D$34=Data!A216,Data!B216,IF(D$34=Data!A217,Data!B217,IF(D$34=Data!A218,Data!B218,IF(D$34=Data!A219,Data!B219,IF(D$34=Data!A220,Data!B220,IF(D$34=Data!A221,Data!B221,IF(D$34=Data!A222,Data!B222,IF(D$34=Data!A223,Data!B223,IF(D$34=Data!A224,Data!B224,IF(D$34=Data!A225,Data!B225,""))))))))))))))))))</f>
        <v/>
      </c>
      <c r="F34" s="194"/>
      <c r="G34" s="260"/>
      <c r="H34" s="261"/>
      <c r="I34" s="195"/>
      <c r="J34" s="2"/>
    </row>
    <row r="35" spans="2:10" ht="16.5" thickBot="1" x14ac:dyDescent="0.3">
      <c r="B35" s="182" t="s">
        <v>70</v>
      </c>
      <c r="C35" s="184" t="s">
        <v>405</v>
      </c>
      <c r="D35" s="254"/>
      <c r="E35" s="185" t="s">
        <v>0</v>
      </c>
      <c r="F35" s="194"/>
      <c r="G35" s="180"/>
      <c r="H35" s="266"/>
      <c r="I35" s="195"/>
    </row>
    <row r="36" spans="2:10" ht="15.75" thickBot="1" x14ac:dyDescent="0.3">
      <c r="B36" s="196">
        <v>36</v>
      </c>
      <c r="C36" s="202" t="s">
        <v>404</v>
      </c>
      <c r="D36" s="255"/>
      <c r="E36" s="198" t="str">
        <f>IF(D36=Data!A229,Data!B229,IF(D36=Data!A230,Data!B230,""))</f>
        <v/>
      </c>
      <c r="F36" s="187"/>
      <c r="G36" s="260"/>
      <c r="H36" s="267"/>
      <c r="I36" s="212"/>
    </row>
    <row r="37" spans="2:10" ht="15.75" thickBot="1" x14ac:dyDescent="0.3">
      <c r="B37" s="196">
        <v>37</v>
      </c>
      <c r="C37" s="201" t="s">
        <v>189</v>
      </c>
      <c r="D37" s="9"/>
      <c r="E37" s="210" t="str">
        <f>IF(E36=0,"000",IF(D37&gt;0,D37,""))</f>
        <v/>
      </c>
      <c r="F37" s="187"/>
      <c r="G37" s="252" t="str">
        <f>IF(E5="","",IF(E36=0,"",IF(D37="","4","")))</f>
        <v/>
      </c>
      <c r="H37" s="259" t="str">
        <f>IF($E$36=0,IF(D37="","","CHYBA - Komunikace není požadována, údaj musí být prázdný!"),"")</f>
        <v/>
      </c>
      <c r="I37" s="212"/>
    </row>
    <row r="38" spans="2:10" ht="15.75" thickBot="1" x14ac:dyDescent="0.3">
      <c r="B38" s="196">
        <v>38</v>
      </c>
      <c r="C38" s="201" t="s">
        <v>57</v>
      </c>
      <c r="D38" s="10"/>
      <c r="E38" s="198" t="str">
        <f>IF(E36=0,"0",IF(D38=Data!A234,Data!B234,IF(D38=Data!A235,Data!B235,IF(D38=Data!A236,Data!B236,IF(D38=Data!A237,Data!B237,IF(D38=Data!A238,Data!B238,IF(D38=Data!A239,Data!B239,IF(D38=Data!A240,Data!B240,IF(D38=Data!A241,Data!B241,IF(D38=Data!A242,Data!B242,""))))))))))</f>
        <v/>
      </c>
      <c r="F38" s="187"/>
      <c r="G38" s="260"/>
      <c r="H38" s="259" t="str">
        <f t="shared" ref="H38:H39" si="0">IF($E$36=0,IF(D38="","","CHYBA - Komunikace není požadována, údaj musí být prázdný!"),"")</f>
        <v/>
      </c>
      <c r="I38" s="212"/>
    </row>
    <row r="39" spans="2:10" ht="15.75" thickBot="1" x14ac:dyDescent="0.3">
      <c r="B39" s="196">
        <v>39</v>
      </c>
      <c r="C39" s="201" t="s">
        <v>194</v>
      </c>
      <c r="D39" s="15"/>
      <c r="E39" s="198" t="str">
        <f>IF(E36=0,"0",IF(D39=Data!A244,Data!B244,IF(D39=Data!A245,Data!B245,"")))</f>
        <v/>
      </c>
      <c r="F39" s="187"/>
      <c r="G39" s="260"/>
      <c r="H39" s="259" t="str">
        <f t="shared" si="0"/>
        <v/>
      </c>
      <c r="I39" s="212"/>
    </row>
    <row r="40" spans="2:10" ht="16.5" thickBot="1" x14ac:dyDescent="0.3">
      <c r="B40" s="182" t="s">
        <v>70</v>
      </c>
      <c r="C40" s="177" t="s">
        <v>382</v>
      </c>
      <c r="D40" s="183" t="s">
        <v>70</v>
      </c>
      <c r="E40" s="185" t="s">
        <v>0</v>
      </c>
      <c r="F40" s="194"/>
      <c r="G40" s="180"/>
      <c r="H40" s="268" t="str">
        <f>IF(D41="","",IF(E5=2,IF(E41=5,"NELZE - bezpřírubová verze nemá schválení typu",IF(E41=6,"NELZE - bezpřírubová verze nemá schválení typu","")),""))</f>
        <v/>
      </c>
      <c r="I40" s="195"/>
    </row>
    <row r="41" spans="2:10" ht="15.75" thickBot="1" x14ac:dyDescent="0.3">
      <c r="B41" s="196">
        <v>41</v>
      </c>
      <c r="C41" s="197" t="s">
        <v>383</v>
      </c>
      <c r="D41" s="15"/>
      <c r="E41" s="198" t="str">
        <f>IF(D41=Data!A247,Data!B247,IF(D41=Data!A248,Data!B248,IF(D41=Data!A249,Data!B249,IF(D41=Data!A250,Data!B250,IF(D41=Data!A251,Data!B251,IF(D41=Data!A252,Data!B252,IF(D41=Data!A253,Data!B253,IF(D41=Data!A254,Data!B254,""))))))))</f>
        <v/>
      </c>
      <c r="F41" s="187"/>
      <c r="G41" s="199"/>
      <c r="H41" s="253" t="str">
        <f>IF(OR(E41=1,E41=4),"Max. chyba pro horní oblast průtoku: ±2 % pro teploty do 30 °C a ±3 % pro teploty nad 30 °C. Pro dolní oblast: ±5 % bez ohledu na teplotu.",IF(OR(E41=2,E41=5),"Platí pro rozsah průtoků 5–100% Q4",IF(OR(E41=3,E41=6),"Platí pro rozsah průtoků 10–100% Q4","")))</f>
        <v/>
      </c>
      <c r="I41" s="212"/>
    </row>
    <row r="42" spans="2:10" ht="16.5" thickBot="1" x14ac:dyDescent="0.3">
      <c r="B42" s="182" t="s">
        <v>70</v>
      </c>
      <c r="C42" s="177" t="s">
        <v>58</v>
      </c>
      <c r="D42" s="183" t="s">
        <v>70</v>
      </c>
      <c r="E42" s="185" t="s">
        <v>0</v>
      </c>
      <c r="F42" s="194"/>
      <c r="G42" s="180"/>
      <c r="H42" s="181"/>
      <c r="I42" s="195"/>
    </row>
    <row r="43" spans="2:10" ht="15.75" thickBot="1" x14ac:dyDescent="0.3">
      <c r="B43" s="196">
        <v>43</v>
      </c>
      <c r="C43" s="197" t="s">
        <v>120</v>
      </c>
      <c r="D43" s="36"/>
      <c r="E43" s="210" t="str">
        <f>IF(D43="","",IF(D43=0,"000",IF(D43&gt;0,D43,"")))</f>
        <v/>
      </c>
      <c r="F43" s="187"/>
      <c r="G43" s="199"/>
      <c r="H43" s="211"/>
      <c r="I43" s="212"/>
    </row>
    <row r="44" spans="2:10" ht="15.75" thickBot="1" x14ac:dyDescent="0.3">
      <c r="B44" s="196">
        <v>44</v>
      </c>
      <c r="C44" s="197" t="s">
        <v>59</v>
      </c>
      <c r="D44" s="15"/>
      <c r="E44" s="198" t="str">
        <f>IF(D44=Data!A258,Data!B258,IF(D44=Data!A259,Data!B259,IF(D44=Data!A260,Data!B260,"")))</f>
        <v/>
      </c>
      <c r="F44" s="187"/>
      <c r="G44" s="199"/>
      <c r="H44" s="211"/>
      <c r="I44" s="212"/>
    </row>
    <row r="45" spans="2:10" ht="15.75" thickBot="1" x14ac:dyDescent="0.3">
      <c r="B45" s="196">
        <v>45</v>
      </c>
      <c r="C45" s="197" t="s">
        <v>60</v>
      </c>
      <c r="D45" s="15"/>
      <c r="E45" s="198" t="str">
        <f>IF(D45=Data!A262,Data!B262,IF(D45=Data!A263,Data!B263,IF(D45=Data!A264,Data!B264,IF(D45=Data!A265,Data!B265,""))))</f>
        <v/>
      </c>
      <c r="F45" s="187"/>
      <c r="G45" s="199"/>
      <c r="H45" s="211"/>
      <c r="I45" s="212"/>
    </row>
    <row r="46" spans="2:10" ht="15.75" thickBot="1" x14ac:dyDescent="0.3">
      <c r="B46" s="196">
        <v>46</v>
      </c>
      <c r="C46" s="197" t="s">
        <v>61</v>
      </c>
      <c r="D46" s="15"/>
      <c r="E46" s="198" t="str">
        <f>IF(D46=Data!A267,Data!B267,IF(D46=Data!A268,Data!B268,IF(D46=Data!A269,Data!B269,IF(D46=Data!A270,Data!B270,IF(D46=Data!A271,Data!B271,IF(D46=Data!A272,Data!B272,""))))))</f>
        <v/>
      </c>
      <c r="F46" s="187"/>
      <c r="G46" s="199"/>
      <c r="H46" s="211"/>
      <c r="I46" s="212"/>
    </row>
    <row r="47" spans="2:10" ht="16.5" thickBot="1" x14ac:dyDescent="0.3">
      <c r="B47" s="182" t="s">
        <v>70</v>
      </c>
      <c r="C47" s="177" t="s">
        <v>71</v>
      </c>
      <c r="D47" s="183" t="s">
        <v>70</v>
      </c>
      <c r="E47" s="185" t="s">
        <v>0</v>
      </c>
      <c r="F47" s="213"/>
      <c r="G47" s="180"/>
      <c r="H47" s="181"/>
      <c r="I47" s="195"/>
    </row>
    <row r="48" spans="2:10" ht="15.75" thickBot="1" x14ac:dyDescent="0.3">
      <c r="B48" s="214">
        <v>48</v>
      </c>
      <c r="C48" s="215" t="s">
        <v>107</v>
      </c>
      <c r="D48" s="216" t="str">
        <f>IF(D41="","","Es90715K")</f>
        <v/>
      </c>
      <c r="E48" s="217" t="str">
        <f>IF(D48="","",1)</f>
        <v/>
      </c>
      <c r="F48" s="218"/>
      <c r="G48" s="219"/>
      <c r="H48" s="220"/>
      <c r="I48" s="221"/>
    </row>
    <row r="49" spans="2:9" ht="18" thickBot="1" x14ac:dyDescent="0.3">
      <c r="B49" s="222">
        <v>49</v>
      </c>
      <c r="C49" s="223" t="s">
        <v>132</v>
      </c>
      <c r="D49" s="50"/>
      <c r="E49" s="53"/>
      <c r="F49" s="218"/>
      <c r="G49" s="219"/>
      <c r="H49" s="220"/>
      <c r="I49" s="221"/>
    </row>
    <row r="50" spans="2:9" ht="9.75" customHeight="1" thickBot="1" x14ac:dyDescent="0.3">
      <c r="E50" s="29"/>
      <c r="H50" s="17"/>
    </row>
    <row r="51" spans="2:9" ht="20.25" customHeight="1" x14ac:dyDescent="0.2">
      <c r="B51" s="224"/>
      <c r="C51" s="225" t="s">
        <v>32</v>
      </c>
      <c r="D51" s="226"/>
      <c r="E51" s="227"/>
      <c r="F51" s="227"/>
      <c r="G51" s="228" t="s">
        <v>75</v>
      </c>
      <c r="H51" s="229"/>
      <c r="I51" s="230"/>
    </row>
    <row r="52" spans="2:9" ht="19.5" customHeight="1" x14ac:dyDescent="0.25">
      <c r="B52" s="231"/>
      <c r="C52" s="51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,"Úplné objednací číslo se vygeneruje až po zadání všech parametrů.")</f>
        <v>Úplné objednací číslo se vygeneruje až po zadání všech parametrů.</v>
      </c>
      <c r="D52" s="52"/>
      <c r="E52" s="232"/>
      <c r="F52" s="232"/>
      <c r="G52" s="233" t="s">
        <v>111</v>
      </c>
      <c r="H52" s="234"/>
      <c r="I52" s="191"/>
    </row>
    <row r="53" spans="2:9" ht="19.5" customHeight="1" thickBot="1" x14ac:dyDescent="0.3">
      <c r="B53" s="235"/>
      <c r="C53" s="84" t="str">
        <f>IF(NezadanHW=0,Tech!B4&amp;Tech!B5&amp;Tech!B6&amp;Tech!B7&amp;Tech!B8&amp;Tech!B9&amp;Tech!B10&amp;Tech!B11&amp;Tech!B12&amp;Tech!B13&amp;Tech!B14&amp;Tech!B15&amp;Tech!B16&amp;Tech!B17&amp;Tech!B18&amp;Tech!B19&amp;Tech!B20&amp;Tech!B21,"")</f>
        <v/>
      </c>
      <c r="D53" s="46" t="str">
        <f>IF(NezadanHW=0,"← Část Objednacího čísla definující konstrukci výrobku.","")</f>
        <v/>
      </c>
      <c r="E53" s="236"/>
      <c r="F53" s="237"/>
      <c r="G53" s="238"/>
      <c r="H53" s="238"/>
      <c r="I53" s="239"/>
    </row>
    <row r="54" spans="2:9" ht="12" customHeight="1" thickBot="1" x14ac:dyDescent="0.3">
      <c r="E54" s="29"/>
      <c r="H54" s="17"/>
      <c r="I54" s="39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,"")</f>
        <v>FN50.2------</v>
      </c>
    </row>
    <row r="55" spans="2:9" ht="23.25" customHeight="1" x14ac:dyDescent="0.25">
      <c r="B55" s="240"/>
      <c r="C55" s="241" t="s">
        <v>141</v>
      </c>
      <c r="D55" s="242"/>
      <c r="E55" s="243"/>
      <c r="F55" s="244"/>
      <c r="G55" s="245" t="s">
        <v>110</v>
      </c>
      <c r="H55" s="244"/>
      <c r="I55" s="270"/>
    </row>
    <row r="56" spans="2:9" ht="145.5" customHeight="1" x14ac:dyDescent="0.25">
      <c r="B56" s="246"/>
      <c r="C56" s="273"/>
      <c r="D56" s="273"/>
      <c r="E56" s="198"/>
      <c r="F56" s="187"/>
      <c r="G56" s="274" t="str">
        <f>SoupisNP</f>
        <v/>
      </c>
      <c r="H56" s="275"/>
      <c r="I56" s="271"/>
    </row>
    <row r="57" spans="2:9" ht="8.25" customHeight="1" thickBot="1" x14ac:dyDescent="0.3">
      <c r="B57" s="246"/>
      <c r="C57" s="187"/>
      <c r="D57" s="187"/>
      <c r="E57" s="198"/>
      <c r="F57" s="187"/>
      <c r="G57" s="187"/>
      <c r="H57" s="232"/>
      <c r="I57" s="271"/>
    </row>
    <row r="58" spans="2:9" ht="17.45" customHeight="1" thickBot="1" x14ac:dyDescent="0.3">
      <c r="B58" s="247"/>
      <c r="C58" s="197" t="s">
        <v>74</v>
      </c>
      <c r="D58" s="30"/>
      <c r="E58" s="198"/>
      <c r="F58" s="187"/>
      <c r="G58" s="187"/>
      <c r="H58" s="232"/>
      <c r="I58" s="271"/>
    </row>
    <row r="59" spans="2:9" ht="17.45" customHeight="1" thickBot="1" x14ac:dyDescent="0.3">
      <c r="B59" s="247"/>
      <c r="C59" s="197" t="s">
        <v>117</v>
      </c>
      <c r="D59" s="37"/>
      <c r="E59" s="198"/>
      <c r="F59" s="187"/>
      <c r="G59" s="187"/>
      <c r="H59" s="232"/>
      <c r="I59" s="271"/>
    </row>
    <row r="60" spans="2:9" ht="17.45" customHeight="1" thickBot="1" x14ac:dyDescent="0.3">
      <c r="B60" s="247"/>
      <c r="C60" s="197" t="s">
        <v>136</v>
      </c>
      <c r="D60" s="37"/>
      <c r="E60" s="198"/>
      <c r="F60" s="187"/>
      <c r="G60" s="187"/>
      <c r="H60" s="232"/>
      <c r="I60" s="271"/>
    </row>
    <row r="61" spans="2:9" ht="17.45" customHeight="1" thickBot="1" x14ac:dyDescent="0.3">
      <c r="B61" s="247"/>
      <c r="C61" s="197" t="s">
        <v>118</v>
      </c>
      <c r="D61" s="37"/>
      <c r="E61" s="198"/>
      <c r="F61" s="187"/>
      <c r="G61" s="187"/>
      <c r="H61" s="232"/>
      <c r="I61" s="271"/>
    </row>
    <row r="62" spans="2:9" ht="17.45" customHeight="1" thickBot="1" x14ac:dyDescent="0.3">
      <c r="B62" s="247"/>
      <c r="C62" s="197" t="s">
        <v>119</v>
      </c>
      <c r="D62" s="37"/>
      <c r="E62" s="198"/>
      <c r="F62" s="187"/>
      <c r="G62" s="187"/>
      <c r="H62" s="232"/>
      <c r="I62" s="271"/>
    </row>
    <row r="63" spans="2:9" ht="17.45" customHeight="1" thickBot="1" x14ac:dyDescent="0.3">
      <c r="B63" s="247"/>
      <c r="C63" s="197" t="s">
        <v>135</v>
      </c>
      <c r="D63" s="38"/>
      <c r="E63" s="198"/>
      <c r="F63" s="187"/>
      <c r="G63" s="187"/>
      <c r="H63" s="232"/>
      <c r="I63" s="271"/>
    </row>
    <row r="64" spans="2:9" ht="8.25" customHeight="1" thickBot="1" x14ac:dyDescent="0.3">
      <c r="B64" s="248"/>
      <c r="C64" s="249"/>
      <c r="D64" s="249"/>
      <c r="E64" s="250"/>
      <c r="F64" s="249"/>
      <c r="G64" s="249"/>
      <c r="H64" s="251"/>
      <c r="I64" s="272"/>
    </row>
    <row r="65" spans="2:2" ht="18.75" customHeight="1" x14ac:dyDescent="0.25">
      <c r="B65" s="269" t="s">
        <v>410</v>
      </c>
    </row>
  </sheetData>
  <sheetProtection algorithmName="SHA-512" hashValue="QIYeNlBWmPza/pHyIJ2Ym8iynNDtuFzhP/eaiY3lEt+LRxQ2hvFf9odg6LwG5ppTtx3/K6ia6L/l1ZxxPbXddg==" saltValue="nxdi+ZSN6bFH1N1WJloEDQ==" spinCount="100000" sheet="1" objects="1" scenarios="1" formatColumns="0" formatRows="0"/>
  <mergeCells count="2">
    <mergeCell ref="C56:D56"/>
    <mergeCell ref="G56:H56"/>
  </mergeCells>
  <conditionalFormatting sqref="C21">
    <cfRule type="expression" dxfId="9" priority="11">
      <formula>$E$20=0</formula>
    </cfRule>
  </conditionalFormatting>
  <conditionalFormatting sqref="C25">
    <cfRule type="expression" dxfId="8" priority="19">
      <formula>$E$6="0"</formula>
    </cfRule>
  </conditionalFormatting>
  <conditionalFormatting sqref="C28">
    <cfRule type="expression" dxfId="7" priority="15">
      <formula>$E$27=0</formula>
    </cfRule>
  </conditionalFormatting>
  <conditionalFormatting sqref="C37:C39">
    <cfRule type="expression" dxfId="6" priority="2">
      <formula>$E$36=0</formula>
    </cfRule>
  </conditionalFormatting>
  <conditionalFormatting sqref="D21">
    <cfRule type="expression" dxfId="5" priority="18">
      <formula>$E$20=0</formula>
    </cfRule>
  </conditionalFormatting>
  <conditionalFormatting sqref="D25">
    <cfRule type="expression" dxfId="4" priority="21">
      <formula>$E$6="0"</formula>
    </cfRule>
  </conditionalFormatting>
  <conditionalFormatting sqref="D28">
    <cfRule type="expression" dxfId="3" priority="16">
      <formula>$E$27=0</formula>
    </cfRule>
  </conditionalFormatting>
  <conditionalFormatting sqref="D36">
    <cfRule type="expression" dxfId="2" priority="3">
      <formula>#REF!="0"</formula>
    </cfRule>
  </conditionalFormatting>
  <conditionalFormatting sqref="D37:D39">
    <cfRule type="expression" dxfId="1" priority="1">
      <formula>$E$36=0</formula>
    </cfRule>
    <cfRule type="expression" dxfId="0" priority="26">
      <formula>$E$36=0</formula>
    </cfRule>
  </conditionalFormatting>
  <dataValidations count="37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OC_KPP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11" xr:uid="{00000000-0002-0000-0000-000005000000}">
      <formula1>OC_ME</formula1>
    </dataValidation>
    <dataValidation type="list" allowBlank="1" showInputMessage="1" showErrorMessage="1" sqref="D12" xr:uid="{00000000-0002-0000-0000-000006000000}">
      <formula1>OC_VC</formula1>
    </dataValidation>
    <dataValidation type="list" allowBlank="1" showInputMessage="1" showErrorMessage="1" sqref="D34" xr:uid="{00000000-0002-0000-0000-000007000000}">
      <formula1>OC_VOUT1</formula1>
    </dataValidation>
    <dataValidation type="list" allowBlank="1" showErrorMessage="1" promptTitle="Upozornění" prompt="IP 68 nelze provést u kompaktního provedení!" sqref="D13" xr:uid="{00000000-0002-0000-0000-000008000000}">
      <formula1>OC_KC</formula1>
    </dataValidation>
    <dataValidation type="list" allowBlank="1" showInputMessage="1" showErrorMessage="1" sqref="D14" xr:uid="{00000000-0002-0000-0000-000009000000}">
      <formula1>OC_ZE</formula1>
    </dataValidation>
    <dataValidation type="list" allowBlank="1" showInputMessage="1" showErrorMessage="1" sqref="D15" xr:uid="{00000000-0002-0000-0000-00000A000000}">
      <formula1>OC_JT</formula1>
    </dataValidation>
    <dataValidation type="list" allowBlank="1" showInputMessage="1" showErrorMessage="1" sqref="D16" xr:uid="{00000000-0002-0000-0000-00000B000000}">
      <formula1>OC_MPTM</formula1>
    </dataValidation>
    <dataValidation type="list" allowBlank="1" showInputMessage="1" showErrorMessage="1" sqref="D25" xr:uid="{00000000-0002-0000-0000-00000C000000}">
      <formula1>OC_DK</formula1>
    </dataValidation>
    <dataValidation type="list" allowBlank="1" showInputMessage="1" showErrorMessage="1" sqref="D18" xr:uid="{00000000-0002-0000-0000-00000D000000}">
      <formula1>OC_N</formula1>
    </dataValidation>
    <dataValidation type="list" allowBlank="1" showInputMessage="1" showErrorMessage="1" sqref="D20 D25" xr:uid="{00000000-0002-0000-0000-00000E000000}">
      <formula1>OC_DTdPED</formula1>
    </dataValidation>
    <dataValidation type="list" allowBlank="1" showInputMessage="1" showErrorMessage="1" sqref="D32" xr:uid="{00000000-0002-0000-0000-00000F000000}">
      <formula1>OC_NM</formula1>
    </dataValidation>
    <dataValidation type="list" allowBlank="1" showInputMessage="1" showErrorMessage="1" sqref="D31" xr:uid="{00000000-0002-0000-0000-000010000000}">
      <formula1>OC_PVpP</formula1>
    </dataValidation>
    <dataValidation type="list" allowBlank="1" showInputMessage="1" showErrorMessage="1" sqref="D28" xr:uid="{00000000-0002-0000-0000-000011000000}">
      <formula1>OC_JIC</formula1>
    </dataValidation>
    <dataValidation type="list" allowBlank="1" showInputMessage="1" showErrorMessage="1" sqref="D27" xr:uid="{00000000-0002-0000-0000-000012000000}">
      <formula1>OC_IC</formula1>
    </dataValidation>
    <dataValidation type="list" allowBlank="1" showInputMessage="1" showErrorMessage="1" sqref="D38" xr:uid="{00000000-0002-0000-0000-000013000000}">
      <formula1>OC_RP</formula1>
    </dataValidation>
    <dataValidation type="list" allowBlank="1" showInputMessage="1" showErrorMessage="1" sqref="D41" xr:uid="{00000000-0002-0000-0000-000014000000}">
      <formula1>OC_MP</formula1>
    </dataValidation>
    <dataValidation type="list" allowBlank="1" showInputMessage="1" showErrorMessage="1" sqref="D45" xr:uid="{00000000-0002-0000-0000-000015000000}">
      <formula1>OC_ZP</formula1>
    </dataValidation>
    <dataValidation type="list" allowBlank="1" showInputMessage="1" showErrorMessage="1" sqref="D46" xr:uid="{00000000-0002-0000-0000-000016000000}">
      <formula1>OC_Z</formula1>
    </dataValidation>
    <dataValidation type="list" allowBlank="1" showInputMessage="1" showErrorMessage="1" sqref="D21" xr:uid="{00000000-0002-0000-0000-000017000000}">
      <formula1>OC_KdPED</formula1>
    </dataValidation>
    <dataValidation type="list" allowBlank="1" showInputMessage="1" showErrorMessage="1" sqref="D17" xr:uid="{00000000-0002-0000-0000-000018000000}">
      <formula1>OC_MDT</formula1>
    </dataValidation>
    <dataValidation type="list" allowBlank="1" showInputMessage="1" showErrorMessage="1" sqref="D14 D24" xr:uid="{00000000-0002-0000-0000-000019000000}">
      <formula1>OC_ZK</formula1>
    </dataValidation>
    <dataValidation type="list" allowBlank="1" showInputMessage="1" showErrorMessage="1" sqref="D44" xr:uid="{00000000-0002-0000-0000-00001A000000}">
      <formula1>OC_B</formula1>
    </dataValidation>
    <dataValidation type="whole" allowBlank="1" showInputMessage="1" showErrorMessage="1" sqref="D43" xr:uid="{00000000-0002-0000-0000-00001B000000}">
      <formula1>0</formula1>
      <formula2>999</formula2>
    </dataValidation>
    <dataValidation type="whole" allowBlank="1" showInputMessage="1" showErrorMessage="1" errorTitle="CHYBA" error="Číslo musí být v rozsahu 1 až 247." sqref="D37" xr:uid="{00000000-0002-0000-0000-00001C000000}">
      <formula1>1</formula1>
      <formula2>247</formula2>
    </dataValidation>
    <dataValidation type="list" allowBlank="1" showInputMessage="1" showErrorMessage="1" sqref="D22" xr:uid="{00000000-0002-0000-0000-00001D000000}">
      <formula1>OC_MT</formula1>
    </dataValidation>
    <dataValidation type="list" allowBlank="1" showInputMessage="1" showErrorMessage="1" sqref="D27:D28 D31:D32 D34" xr:uid="{00000000-0002-0000-0000-00001E000000}">
      <formula1>OC_DM</formula1>
    </dataValidation>
    <dataValidation type="list" allowBlank="1" showInputMessage="1" showErrorMessage="1" sqref="D27 D30" xr:uid="{00000000-0002-0000-0000-00001F000000}">
      <formula1>OC_JP</formula1>
    </dataValidation>
    <dataValidation type="list" allowBlank="1" showErrorMessage="1" promptTitle="Upozornění" prompt="IP 68 nelze provést u kompaktního provedení!" sqref="D14" xr:uid="{00000000-0002-0000-0000-000020000000}">
      <formula1>OC_ZE</formula1>
    </dataValidation>
    <dataValidation type="list" allowBlank="1" showInputMessage="1" showErrorMessage="1" sqref="D33" xr:uid="{00000000-0002-0000-0000-000021000000}">
      <formula1>OC_Prut</formula1>
    </dataValidation>
    <dataValidation type="list" allowBlank="1" showInputMessage="1" showErrorMessage="1" sqref="D39" xr:uid="{00000000-0002-0000-0000-000022000000}">
      <formula1>OC_F4vp</formula1>
    </dataValidation>
    <dataValidation type="list" allowBlank="1" showInputMessage="1" showErrorMessage="1" sqref="D29" xr:uid="{00000000-0002-0000-0000-000023000000}">
      <formula1>OC_JO</formula1>
    </dataValidation>
    <dataValidation type="list" allowBlank="1" showInputMessage="1" showErrorMessage="1" sqref="D36" xr:uid="{0A8B4297-9AF4-42E9-9C62-088B6D4A3F33}">
      <formula1>OC_R</formula1>
    </dataValidation>
  </dataValidations>
  <pageMargins left="0.62992125984251968" right="0.23622047244094491" top="0.74803149606299213" bottom="0.74803149606299213" header="0.31496062992125984" footer="0.31496062992125984"/>
  <pageSetup paperSize="9" scale="93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2"/>
  <sheetViews>
    <sheetView topLeftCell="A37" zoomScaleNormal="100" workbookViewId="0">
      <selection activeCell="C65" sqref="C65"/>
    </sheetView>
  </sheetViews>
  <sheetFormatPr defaultRowHeight="15" x14ac:dyDescent="0.25"/>
  <cols>
    <col min="1" max="1" width="56.42578125" customWidth="1"/>
    <col min="3" max="3" width="25.5703125" style="145" bestFit="1" customWidth="1"/>
  </cols>
  <sheetData>
    <row r="1" spans="1:3" x14ac:dyDescent="0.25">
      <c r="A1" s="4" t="s">
        <v>1</v>
      </c>
      <c r="B1" s="58" t="s">
        <v>123</v>
      </c>
      <c r="C1" s="143" t="s">
        <v>327</v>
      </c>
    </row>
    <row r="2" spans="1:3" x14ac:dyDescent="0.25">
      <c r="A2" s="56" t="s">
        <v>368</v>
      </c>
      <c r="B2" s="59">
        <v>1</v>
      </c>
      <c r="C2" s="144"/>
    </row>
    <row r="3" spans="1:3" x14ac:dyDescent="0.25">
      <c r="A3" s="56" t="s">
        <v>370</v>
      </c>
      <c r="B3" s="59">
        <v>2</v>
      </c>
      <c r="C3" s="144"/>
    </row>
    <row r="4" spans="1:3" x14ac:dyDescent="0.25">
      <c r="A4" s="56" t="s">
        <v>369</v>
      </c>
      <c r="B4" s="59">
        <v>3</v>
      </c>
      <c r="C4" s="144"/>
    </row>
    <row r="5" spans="1:3" x14ac:dyDescent="0.25">
      <c r="A5" s="56" t="s">
        <v>371</v>
      </c>
      <c r="B5" s="59">
        <v>4</v>
      </c>
      <c r="C5" s="144"/>
    </row>
    <row r="6" spans="1:3" x14ac:dyDescent="0.25">
      <c r="A6" s="56" t="s">
        <v>30</v>
      </c>
      <c r="B6" s="59" t="s">
        <v>139</v>
      </c>
      <c r="C6" s="144"/>
    </row>
    <row r="7" spans="1:3" x14ac:dyDescent="0.25">
      <c r="A7" s="4" t="s">
        <v>143</v>
      </c>
      <c r="B7" s="60"/>
      <c r="C7" s="144"/>
    </row>
    <row r="8" spans="1:3" x14ac:dyDescent="0.25">
      <c r="A8" s="5" t="s">
        <v>372</v>
      </c>
      <c r="B8" s="59" t="s">
        <v>374</v>
      </c>
      <c r="C8" s="144"/>
    </row>
    <row r="9" spans="1:3" x14ac:dyDescent="0.25">
      <c r="A9" s="5" t="s">
        <v>373</v>
      </c>
      <c r="B9" s="59" t="s">
        <v>44</v>
      </c>
      <c r="C9" s="144"/>
    </row>
    <row r="10" spans="1:3" x14ac:dyDescent="0.25">
      <c r="A10" s="55" t="s">
        <v>358</v>
      </c>
      <c r="B10" s="60"/>
      <c r="C10" s="144"/>
    </row>
    <row r="11" spans="1:3" ht="15.75" customHeight="1" x14ac:dyDescent="0.25">
      <c r="A11" s="5" t="s">
        <v>339</v>
      </c>
      <c r="B11" s="59" t="s">
        <v>5</v>
      </c>
      <c r="C11" s="144"/>
    </row>
    <row r="12" spans="1:3" x14ac:dyDescent="0.25">
      <c r="A12" s="5" t="s">
        <v>362</v>
      </c>
      <c r="B12" s="59" t="s">
        <v>6</v>
      </c>
      <c r="C12" s="144"/>
    </row>
    <row r="13" spans="1:3" x14ac:dyDescent="0.25">
      <c r="A13" s="5" t="s">
        <v>363</v>
      </c>
      <c r="B13" s="59" t="s">
        <v>7</v>
      </c>
      <c r="C13" s="144"/>
    </row>
    <row r="14" spans="1:3" ht="15.75" customHeight="1" x14ac:dyDescent="0.25">
      <c r="A14" s="5" t="s">
        <v>364</v>
      </c>
      <c r="B14" s="59" t="s">
        <v>8</v>
      </c>
      <c r="C14" s="144"/>
    </row>
    <row r="15" spans="1:3" ht="15.75" customHeight="1" x14ac:dyDescent="0.25">
      <c r="A15" s="5" t="s">
        <v>340</v>
      </c>
      <c r="B15" s="59" t="s">
        <v>9</v>
      </c>
      <c r="C15" s="144"/>
    </row>
    <row r="16" spans="1:3" x14ac:dyDescent="0.25">
      <c r="A16" s="5" t="s">
        <v>341</v>
      </c>
      <c r="B16" s="59" t="s">
        <v>10</v>
      </c>
      <c r="C16" s="144"/>
    </row>
    <row r="17" spans="1:3" ht="15.75" customHeight="1" x14ac:dyDescent="0.25">
      <c r="A17" s="5" t="s">
        <v>365</v>
      </c>
      <c r="B17" s="59" t="s">
        <v>11</v>
      </c>
      <c r="C17" s="144"/>
    </row>
    <row r="18" spans="1:3" x14ac:dyDescent="0.25">
      <c r="A18" s="5" t="s">
        <v>342</v>
      </c>
      <c r="B18" s="59" t="s">
        <v>12</v>
      </c>
      <c r="C18" s="144"/>
    </row>
    <row r="19" spans="1:3" x14ac:dyDescent="0.25">
      <c r="A19" s="5" t="s">
        <v>343</v>
      </c>
      <c r="B19" s="59" t="s">
        <v>13</v>
      </c>
      <c r="C19" s="144"/>
    </row>
    <row r="20" spans="1:3" x14ac:dyDescent="0.25">
      <c r="A20" s="5" t="s">
        <v>344</v>
      </c>
      <c r="B20" s="59" t="s">
        <v>14</v>
      </c>
      <c r="C20" s="144"/>
    </row>
    <row r="21" spans="1:3" x14ac:dyDescent="0.25">
      <c r="A21" s="5" t="s">
        <v>345</v>
      </c>
      <c r="B21" s="59" t="s">
        <v>15</v>
      </c>
      <c r="C21" s="144"/>
    </row>
    <row r="22" spans="1:3" x14ac:dyDescent="0.25">
      <c r="A22" s="5" t="s">
        <v>366</v>
      </c>
      <c r="B22" s="59" t="s">
        <v>16</v>
      </c>
      <c r="C22" s="144"/>
    </row>
    <row r="23" spans="1:3" x14ac:dyDescent="0.25">
      <c r="A23" s="5" t="s">
        <v>346</v>
      </c>
      <c r="B23" s="59" t="s">
        <v>17</v>
      </c>
      <c r="C23" s="144"/>
    </row>
    <row r="24" spans="1:3" x14ac:dyDescent="0.25">
      <c r="A24" s="5" t="s">
        <v>347</v>
      </c>
      <c r="B24" s="59" t="s">
        <v>18</v>
      </c>
      <c r="C24" s="144"/>
    </row>
    <row r="25" spans="1:3" x14ac:dyDescent="0.25">
      <c r="A25" s="5" t="s">
        <v>348</v>
      </c>
      <c r="B25" s="59" t="s">
        <v>19</v>
      </c>
      <c r="C25" s="144"/>
    </row>
    <row r="26" spans="1:3" x14ac:dyDescent="0.25">
      <c r="A26" s="5" t="s">
        <v>349</v>
      </c>
      <c r="B26" s="59" t="s">
        <v>20</v>
      </c>
      <c r="C26" s="144"/>
    </row>
    <row r="27" spans="1:3" x14ac:dyDescent="0.25">
      <c r="A27" s="5" t="s">
        <v>350</v>
      </c>
      <c r="B27" s="59" t="s">
        <v>21</v>
      </c>
      <c r="C27" s="144"/>
    </row>
    <row r="28" spans="1:3" x14ac:dyDescent="0.25">
      <c r="A28" s="5" t="s">
        <v>351</v>
      </c>
      <c r="B28" s="59" t="s">
        <v>22</v>
      </c>
      <c r="C28" s="144"/>
    </row>
    <row r="29" spans="1:3" x14ac:dyDescent="0.25">
      <c r="A29" s="5" t="s">
        <v>352</v>
      </c>
      <c r="B29" s="59" t="s">
        <v>23</v>
      </c>
      <c r="C29" s="144"/>
    </row>
    <row r="30" spans="1:3" x14ac:dyDescent="0.25">
      <c r="A30" s="56" t="s">
        <v>353</v>
      </c>
      <c r="B30" s="59" t="s">
        <v>24</v>
      </c>
      <c r="C30" s="144"/>
    </row>
    <row r="31" spans="1:3" x14ac:dyDescent="0.25">
      <c r="A31" s="5" t="s">
        <v>354</v>
      </c>
      <c r="B31" s="59" t="s">
        <v>25</v>
      </c>
      <c r="C31" s="144"/>
    </row>
    <row r="32" spans="1:3" x14ac:dyDescent="0.25">
      <c r="A32" s="5" t="s">
        <v>355</v>
      </c>
      <c r="B32" s="59" t="s">
        <v>26</v>
      </c>
      <c r="C32" s="144"/>
    </row>
    <row r="33" spans="1:3" x14ac:dyDescent="0.25">
      <c r="A33" s="54" t="s">
        <v>356</v>
      </c>
      <c r="B33" s="59" t="s">
        <v>27</v>
      </c>
      <c r="C33" s="144"/>
    </row>
    <row r="34" spans="1:3" x14ac:dyDescent="0.25">
      <c r="A34" s="5" t="s">
        <v>357</v>
      </c>
      <c r="B34" s="59" t="s">
        <v>28</v>
      </c>
      <c r="C34" s="144"/>
    </row>
    <row r="35" spans="1:3" x14ac:dyDescent="0.25">
      <c r="A35" s="5" t="s">
        <v>30</v>
      </c>
      <c r="B35" s="59" t="s">
        <v>140</v>
      </c>
      <c r="C35" s="144"/>
    </row>
    <row r="36" spans="1:3" x14ac:dyDescent="0.25">
      <c r="A36" s="4" t="s">
        <v>35</v>
      </c>
      <c r="B36" s="1"/>
      <c r="C36" s="144"/>
    </row>
    <row r="37" spans="1:3" x14ac:dyDescent="0.25">
      <c r="A37" s="5" t="s">
        <v>3</v>
      </c>
      <c r="B37" s="59">
        <v>1</v>
      </c>
      <c r="C37" s="144"/>
    </row>
    <row r="38" spans="1:3" x14ac:dyDescent="0.25">
      <c r="A38" s="56" t="s">
        <v>359</v>
      </c>
      <c r="B38" s="59">
        <v>2</v>
      </c>
      <c r="C38" s="144"/>
    </row>
    <row r="39" spans="1:3" x14ac:dyDescent="0.25">
      <c r="A39" s="56" t="s">
        <v>328</v>
      </c>
      <c r="B39" s="59">
        <v>3</v>
      </c>
      <c r="C39" s="144"/>
    </row>
    <row r="40" spans="1:3" x14ac:dyDescent="0.25">
      <c r="A40" s="56" t="s">
        <v>360</v>
      </c>
      <c r="B40" s="59">
        <v>4</v>
      </c>
      <c r="C40" s="144"/>
    </row>
    <row r="41" spans="1:3" x14ac:dyDescent="0.25">
      <c r="A41" s="56" t="s">
        <v>329</v>
      </c>
      <c r="B41" s="59">
        <v>5</v>
      </c>
      <c r="C41" s="144"/>
    </row>
    <row r="42" spans="1:3" x14ac:dyDescent="0.25">
      <c r="A42" s="5" t="s">
        <v>330</v>
      </c>
      <c r="B42" s="59">
        <v>6</v>
      </c>
      <c r="C42" s="144"/>
    </row>
    <row r="43" spans="1:3" x14ac:dyDescent="0.25">
      <c r="A43" s="56" t="s">
        <v>30</v>
      </c>
      <c r="B43" s="59" t="s">
        <v>139</v>
      </c>
      <c r="C43" s="144"/>
    </row>
    <row r="44" spans="1:3" x14ac:dyDescent="0.25">
      <c r="A44" s="4" t="s">
        <v>36</v>
      </c>
      <c r="B44" s="1"/>
      <c r="C44" s="144"/>
    </row>
    <row r="45" spans="1:3" ht="30" x14ac:dyDescent="0.25">
      <c r="A45" s="6" t="s">
        <v>258</v>
      </c>
      <c r="B45" s="61">
        <v>1</v>
      </c>
      <c r="C45" s="144"/>
    </row>
    <row r="46" spans="1:3" ht="45" x14ac:dyDescent="0.25">
      <c r="A46" s="63" t="s">
        <v>259</v>
      </c>
      <c r="B46" s="64">
        <v>2</v>
      </c>
      <c r="C46" s="144"/>
    </row>
    <row r="47" spans="1:3" x14ac:dyDescent="0.25">
      <c r="A47" s="5" t="s">
        <v>375</v>
      </c>
      <c r="B47" s="61">
        <v>3</v>
      </c>
      <c r="C47" s="144"/>
    </row>
    <row r="48" spans="1:3" x14ac:dyDescent="0.25">
      <c r="A48" s="5" t="s">
        <v>30</v>
      </c>
      <c r="B48" s="61" t="s">
        <v>139</v>
      </c>
      <c r="C48" s="144"/>
    </row>
    <row r="49" spans="1:3" x14ac:dyDescent="0.25">
      <c r="A49" s="4" t="s">
        <v>79</v>
      </c>
      <c r="B49" s="1"/>
      <c r="C49" s="144"/>
    </row>
    <row r="50" spans="1:3" x14ac:dyDescent="0.25">
      <c r="A50" s="56" t="s">
        <v>37</v>
      </c>
      <c r="B50" s="61">
        <v>1</v>
      </c>
      <c r="C50" s="144"/>
    </row>
    <row r="51" spans="1:3" x14ac:dyDescent="0.25">
      <c r="A51" s="56" t="s">
        <v>38</v>
      </c>
      <c r="B51" s="61">
        <v>2</v>
      </c>
      <c r="C51" s="144"/>
    </row>
    <row r="52" spans="1:3" x14ac:dyDescent="0.25">
      <c r="A52" s="56" t="s">
        <v>151</v>
      </c>
      <c r="B52" s="61">
        <v>3</v>
      </c>
      <c r="C52" s="144"/>
    </row>
    <row r="53" spans="1:3" x14ac:dyDescent="0.25">
      <c r="A53" s="56" t="s">
        <v>39</v>
      </c>
      <c r="B53" s="61">
        <v>4</v>
      </c>
      <c r="C53" s="144"/>
    </row>
    <row r="54" spans="1:3" x14ac:dyDescent="0.25">
      <c r="A54" s="56" t="s">
        <v>152</v>
      </c>
      <c r="B54" s="61">
        <v>5</v>
      </c>
      <c r="C54" s="144"/>
    </row>
    <row r="55" spans="1:3" x14ac:dyDescent="0.25">
      <c r="A55" s="56" t="s">
        <v>30</v>
      </c>
      <c r="B55" s="61" t="s">
        <v>139</v>
      </c>
      <c r="C55" s="144"/>
    </row>
    <row r="56" spans="1:3" x14ac:dyDescent="0.25">
      <c r="A56" s="4" t="s">
        <v>33</v>
      </c>
      <c r="B56" s="62"/>
      <c r="C56" s="144"/>
    </row>
    <row r="57" spans="1:3" x14ac:dyDescent="0.25">
      <c r="A57" s="56" t="s">
        <v>395</v>
      </c>
      <c r="B57" s="61">
        <v>1</v>
      </c>
      <c r="C57" s="144"/>
    </row>
    <row r="58" spans="1:3" x14ac:dyDescent="0.25">
      <c r="A58" s="56" t="s">
        <v>396</v>
      </c>
      <c r="B58" s="61">
        <v>2</v>
      </c>
      <c r="C58" s="144"/>
    </row>
    <row r="59" spans="1:3" x14ac:dyDescent="0.25">
      <c r="A59" s="56" t="s">
        <v>397</v>
      </c>
      <c r="B59" s="61">
        <v>3</v>
      </c>
      <c r="C59" s="144"/>
    </row>
    <row r="60" spans="1:3" x14ac:dyDescent="0.25">
      <c r="A60" s="56" t="s">
        <v>398</v>
      </c>
      <c r="B60" s="61">
        <v>4</v>
      </c>
      <c r="C60" s="144"/>
    </row>
    <row r="61" spans="1:3" x14ac:dyDescent="0.25">
      <c r="A61" s="56" t="s">
        <v>399</v>
      </c>
      <c r="B61" s="61">
        <v>5</v>
      </c>
      <c r="C61" s="144"/>
    </row>
    <row r="62" spans="1:3" x14ac:dyDescent="0.25">
      <c r="A62" s="56" t="s">
        <v>80</v>
      </c>
      <c r="B62" s="61">
        <v>6</v>
      </c>
      <c r="C62" s="144"/>
    </row>
    <row r="63" spans="1:3" x14ac:dyDescent="0.25">
      <c r="A63" s="56" t="s">
        <v>30</v>
      </c>
      <c r="B63" s="61" t="s">
        <v>139</v>
      </c>
      <c r="C63" s="144"/>
    </row>
    <row r="64" spans="1:3" x14ac:dyDescent="0.25">
      <c r="A64" s="4" t="s">
        <v>34</v>
      </c>
      <c r="B64" s="61"/>
      <c r="C64" s="144"/>
    </row>
    <row r="65" spans="1:3" x14ac:dyDescent="0.25">
      <c r="A65" s="5" t="s">
        <v>408</v>
      </c>
      <c r="B65" s="61">
        <v>0</v>
      </c>
      <c r="C65" s="144"/>
    </row>
    <row r="66" spans="1:3" x14ac:dyDescent="0.25">
      <c r="A66" s="5" t="s">
        <v>409</v>
      </c>
      <c r="B66" s="61">
        <v>1</v>
      </c>
      <c r="C66" s="144"/>
    </row>
    <row r="67" spans="1:3" x14ac:dyDescent="0.25">
      <c r="A67" s="5" t="s">
        <v>145</v>
      </c>
      <c r="B67" s="61">
        <v>2</v>
      </c>
      <c r="C67" s="144"/>
    </row>
    <row r="68" spans="1:3" x14ac:dyDescent="0.25">
      <c r="A68" s="4" t="s">
        <v>144</v>
      </c>
      <c r="B68" s="61"/>
      <c r="C68" s="144"/>
    </row>
    <row r="69" spans="1:3" x14ac:dyDescent="0.25">
      <c r="A69" s="5" t="s">
        <v>114</v>
      </c>
      <c r="B69" s="61">
        <v>1</v>
      </c>
      <c r="C69" s="144"/>
    </row>
    <row r="70" spans="1:3" x14ac:dyDescent="0.25">
      <c r="A70" s="5" t="s">
        <v>42</v>
      </c>
      <c r="B70" s="61">
        <v>0</v>
      </c>
      <c r="C70" s="144"/>
    </row>
    <row r="71" spans="1:3" x14ac:dyDescent="0.25">
      <c r="A71" s="55" t="s">
        <v>153</v>
      </c>
      <c r="B71" s="61"/>
      <c r="C71" s="144"/>
    </row>
    <row r="72" spans="1:3" x14ac:dyDescent="0.25">
      <c r="A72" s="5" t="s">
        <v>91</v>
      </c>
      <c r="B72" s="61">
        <v>1</v>
      </c>
      <c r="C72" s="144"/>
    </row>
    <row r="73" spans="1:3" x14ac:dyDescent="0.25">
      <c r="A73" s="5" t="s">
        <v>92</v>
      </c>
      <c r="B73" s="61">
        <v>2</v>
      </c>
      <c r="C73" s="144"/>
    </row>
    <row r="74" spans="1:3" x14ac:dyDescent="0.25">
      <c r="A74" s="56" t="s">
        <v>154</v>
      </c>
      <c r="B74" s="61">
        <v>3</v>
      </c>
      <c r="C74" s="144"/>
    </row>
    <row r="75" spans="1:3" x14ac:dyDescent="0.25">
      <c r="A75" s="56" t="s">
        <v>131</v>
      </c>
      <c r="B75" s="61">
        <v>4</v>
      </c>
      <c r="C75" s="144"/>
    </row>
    <row r="76" spans="1:3" x14ac:dyDescent="0.25">
      <c r="A76" s="56" t="s">
        <v>155</v>
      </c>
      <c r="B76" s="61">
        <v>5</v>
      </c>
      <c r="C76" s="144"/>
    </row>
    <row r="77" spans="1:3" x14ac:dyDescent="0.25">
      <c r="A77" s="5" t="s">
        <v>30</v>
      </c>
      <c r="B77" s="61" t="s">
        <v>139</v>
      </c>
      <c r="C77" s="144"/>
    </row>
    <row r="78" spans="1:3" ht="18" x14ac:dyDescent="0.25">
      <c r="A78" s="55" t="s">
        <v>221</v>
      </c>
      <c r="B78" s="62"/>
      <c r="C78" s="144"/>
    </row>
    <row r="79" spans="1:3" x14ac:dyDescent="0.25">
      <c r="A79" s="11" t="s">
        <v>86</v>
      </c>
      <c r="B79" s="61">
        <v>1</v>
      </c>
      <c r="C79" s="144"/>
    </row>
    <row r="80" spans="1:3" x14ac:dyDescent="0.25">
      <c r="A80" s="11" t="s">
        <v>129</v>
      </c>
      <c r="B80" s="61">
        <v>2</v>
      </c>
      <c r="C80" s="144"/>
    </row>
    <row r="81" spans="1:3" x14ac:dyDescent="0.25">
      <c r="A81" s="11" t="s">
        <v>321</v>
      </c>
      <c r="B81" s="61">
        <v>3</v>
      </c>
      <c r="C81" s="144"/>
    </row>
    <row r="82" spans="1:3" x14ac:dyDescent="0.25">
      <c r="A82" s="11" t="s">
        <v>87</v>
      </c>
      <c r="B82" s="61">
        <v>4</v>
      </c>
      <c r="C82" s="144"/>
    </row>
    <row r="83" spans="1:3" x14ac:dyDescent="0.25">
      <c r="A83" s="11" t="s">
        <v>89</v>
      </c>
      <c r="B83" s="61">
        <v>5</v>
      </c>
      <c r="C83" s="144"/>
    </row>
    <row r="84" spans="1:3" x14ac:dyDescent="0.25">
      <c r="A84" s="11" t="s">
        <v>127</v>
      </c>
      <c r="B84" s="61">
        <v>6</v>
      </c>
      <c r="C84" s="144"/>
    </row>
    <row r="85" spans="1:3" x14ac:dyDescent="0.25">
      <c r="A85" s="11" t="s">
        <v>128</v>
      </c>
      <c r="B85" s="61">
        <v>7</v>
      </c>
      <c r="C85" s="144"/>
    </row>
    <row r="86" spans="1:3" x14ac:dyDescent="0.25">
      <c r="A86" s="11" t="s">
        <v>88</v>
      </c>
      <c r="B86" s="61">
        <v>8</v>
      </c>
      <c r="C86" s="144"/>
    </row>
    <row r="87" spans="1:3" x14ac:dyDescent="0.25">
      <c r="A87" s="11" t="s">
        <v>90</v>
      </c>
      <c r="B87" s="61">
        <v>9</v>
      </c>
      <c r="C87" s="144"/>
    </row>
    <row r="88" spans="1:3" x14ac:dyDescent="0.25">
      <c r="A88" s="5" t="s">
        <v>30</v>
      </c>
      <c r="B88" s="61" t="s">
        <v>139</v>
      </c>
      <c r="C88" s="144"/>
    </row>
    <row r="89" spans="1:3" ht="18" x14ac:dyDescent="0.25">
      <c r="A89" s="55" t="s">
        <v>156</v>
      </c>
      <c r="B89" s="62"/>
      <c r="C89" s="144"/>
    </row>
    <row r="90" spans="1:3" x14ac:dyDescent="0.25">
      <c r="A90" s="11" t="s">
        <v>158</v>
      </c>
      <c r="B90" s="61">
        <v>1</v>
      </c>
      <c r="C90" s="144"/>
    </row>
    <row r="91" spans="1:3" x14ac:dyDescent="0.25">
      <c r="A91" s="11" t="s">
        <v>30</v>
      </c>
      <c r="B91" s="61" t="s">
        <v>139</v>
      </c>
      <c r="C91" s="144"/>
    </row>
    <row r="92" spans="1:3" x14ac:dyDescent="0.25">
      <c r="A92" s="4" t="s">
        <v>41</v>
      </c>
      <c r="B92" s="62"/>
      <c r="C92" s="144"/>
    </row>
    <row r="93" spans="1:3" x14ac:dyDescent="0.25">
      <c r="A93" s="7" t="s">
        <v>376</v>
      </c>
      <c r="B93" s="61">
        <v>1</v>
      </c>
      <c r="C93" s="144"/>
    </row>
    <row r="94" spans="1:3" x14ac:dyDescent="0.25">
      <c r="A94" s="7" t="s">
        <v>377</v>
      </c>
      <c r="B94" s="61">
        <v>2</v>
      </c>
      <c r="C94" s="144"/>
    </row>
    <row r="95" spans="1:3" x14ac:dyDescent="0.25">
      <c r="A95" s="7" t="s">
        <v>378</v>
      </c>
      <c r="B95" s="61">
        <v>3</v>
      </c>
      <c r="C95" s="144"/>
    </row>
    <row r="96" spans="1:3" x14ac:dyDescent="0.25">
      <c r="A96" s="55" t="s">
        <v>150</v>
      </c>
      <c r="B96" s="62"/>
      <c r="C96" s="144"/>
    </row>
    <row r="97" spans="1:3" x14ac:dyDescent="0.25">
      <c r="A97" s="45" t="s">
        <v>408</v>
      </c>
      <c r="B97" s="61">
        <v>1</v>
      </c>
      <c r="C97" s="144"/>
    </row>
    <row r="98" spans="1:3" x14ac:dyDescent="0.25">
      <c r="A98" s="4" t="s">
        <v>98</v>
      </c>
      <c r="B98" s="62"/>
      <c r="C98" s="144"/>
    </row>
    <row r="99" spans="1:3" x14ac:dyDescent="0.25">
      <c r="A99" s="5" t="s">
        <v>93</v>
      </c>
      <c r="B99" s="61">
        <v>0</v>
      </c>
      <c r="C99" s="144"/>
    </row>
    <row r="100" spans="1:3" x14ac:dyDescent="0.25">
      <c r="A100" s="5" t="s">
        <v>94</v>
      </c>
      <c r="B100" s="61">
        <v>1</v>
      </c>
      <c r="C100" s="144"/>
    </row>
    <row r="101" spans="1:3" x14ac:dyDescent="0.25">
      <c r="A101" s="5" t="s">
        <v>95</v>
      </c>
      <c r="B101" s="61">
        <v>2</v>
      </c>
      <c r="C101" s="144"/>
    </row>
    <row r="102" spans="1:3" x14ac:dyDescent="0.25">
      <c r="A102" s="5" t="s">
        <v>96</v>
      </c>
      <c r="B102" s="61">
        <v>3</v>
      </c>
      <c r="C102" s="144"/>
    </row>
    <row r="103" spans="1:3" x14ac:dyDescent="0.25">
      <c r="A103" s="5" t="s">
        <v>97</v>
      </c>
      <c r="B103" s="61">
        <v>4</v>
      </c>
      <c r="C103" s="144"/>
    </row>
    <row r="104" spans="1:3" x14ac:dyDescent="0.25">
      <c r="A104" s="5" t="s">
        <v>30</v>
      </c>
      <c r="B104" s="61" t="s">
        <v>139</v>
      </c>
      <c r="C104" s="144"/>
    </row>
    <row r="105" spans="1:3" x14ac:dyDescent="0.25">
      <c r="A105" s="4" t="s">
        <v>100</v>
      </c>
      <c r="B105" s="61"/>
      <c r="C105" s="144"/>
    </row>
    <row r="106" spans="1:3" x14ac:dyDescent="0.25">
      <c r="A106" s="45" t="s">
        <v>93</v>
      </c>
      <c r="B106" s="61">
        <v>0</v>
      </c>
      <c r="C106" s="144"/>
    </row>
    <row r="107" spans="1:3" x14ac:dyDescent="0.25">
      <c r="A107" s="5" t="s">
        <v>102</v>
      </c>
      <c r="B107" s="61">
        <v>1</v>
      </c>
      <c r="C107" s="144"/>
    </row>
    <row r="108" spans="1:3" x14ac:dyDescent="0.25">
      <c r="A108" s="5" t="s">
        <v>103</v>
      </c>
      <c r="B108" s="61">
        <v>2</v>
      </c>
      <c r="C108" s="144"/>
    </row>
    <row r="109" spans="1:3" x14ac:dyDescent="0.25">
      <c r="A109" s="5" t="s">
        <v>104</v>
      </c>
      <c r="B109" s="61">
        <v>3</v>
      </c>
      <c r="C109" s="144"/>
    </row>
    <row r="110" spans="1:3" x14ac:dyDescent="0.25">
      <c r="A110" s="5" t="s">
        <v>105</v>
      </c>
      <c r="B110" s="61">
        <v>4</v>
      </c>
      <c r="C110" s="144"/>
    </row>
    <row r="111" spans="1:3" x14ac:dyDescent="0.25">
      <c r="A111" s="55" t="s">
        <v>157</v>
      </c>
      <c r="B111" s="61"/>
      <c r="C111" s="144"/>
    </row>
    <row r="112" spans="1:3" x14ac:dyDescent="0.25">
      <c r="A112" s="5" t="s">
        <v>146</v>
      </c>
      <c r="B112" s="61">
        <v>1</v>
      </c>
      <c r="C112" s="144"/>
    </row>
    <row r="113" spans="1:3" x14ac:dyDescent="0.25">
      <c r="A113" s="7" t="s">
        <v>30</v>
      </c>
      <c r="B113" s="61" t="s">
        <v>139</v>
      </c>
      <c r="C113" s="144"/>
    </row>
    <row r="114" spans="1:3" x14ac:dyDescent="0.25">
      <c r="A114" s="55" t="s">
        <v>99</v>
      </c>
      <c r="B114" s="62"/>
      <c r="C114" s="144"/>
    </row>
    <row r="115" spans="1:3" x14ac:dyDescent="0.25">
      <c r="A115" s="57" t="s">
        <v>106</v>
      </c>
      <c r="B115" s="62"/>
      <c r="C115" s="144"/>
    </row>
    <row r="116" spans="1:3" x14ac:dyDescent="0.25">
      <c r="A116" s="55" t="s">
        <v>112</v>
      </c>
      <c r="B116" s="61"/>
      <c r="C116" s="144"/>
    </row>
    <row r="117" spans="1:3" x14ac:dyDescent="0.25">
      <c r="A117" s="56" t="s">
        <v>113</v>
      </c>
      <c r="B117" s="61">
        <v>0</v>
      </c>
      <c r="C117" s="144"/>
    </row>
    <row r="118" spans="1:3" x14ac:dyDescent="0.25">
      <c r="A118" s="56" t="s">
        <v>37</v>
      </c>
      <c r="B118" s="61">
        <v>1</v>
      </c>
      <c r="C118" s="144"/>
    </row>
    <row r="119" spans="1:3" x14ac:dyDescent="0.25">
      <c r="A119" s="4" t="s">
        <v>101</v>
      </c>
      <c r="B119" s="62"/>
      <c r="C119" s="144"/>
    </row>
    <row r="120" spans="1:3" x14ac:dyDescent="0.25">
      <c r="A120" s="45" t="s">
        <v>133</v>
      </c>
      <c r="B120" s="61">
        <v>0</v>
      </c>
      <c r="C120" s="144"/>
    </row>
    <row r="121" spans="1:3" x14ac:dyDescent="0.25">
      <c r="A121" s="7" t="s">
        <v>361</v>
      </c>
      <c r="B121" s="61">
        <v>1</v>
      </c>
      <c r="C121" s="144"/>
    </row>
    <row r="122" spans="1:3" x14ac:dyDescent="0.25">
      <c r="A122" s="7" t="s">
        <v>81</v>
      </c>
      <c r="B122" s="61">
        <v>2</v>
      </c>
      <c r="C122" s="144"/>
    </row>
    <row r="123" spans="1:3" x14ac:dyDescent="0.25">
      <c r="A123" s="7" t="s">
        <v>82</v>
      </c>
      <c r="B123" s="61">
        <v>3</v>
      </c>
      <c r="C123" s="144"/>
    </row>
    <row r="124" spans="1:3" x14ac:dyDescent="0.25">
      <c r="A124" s="11" t="s">
        <v>148</v>
      </c>
      <c r="B124" s="61">
        <v>4</v>
      </c>
      <c r="C124" s="144"/>
    </row>
    <row r="125" spans="1:3" x14ac:dyDescent="0.25">
      <c r="A125" s="11" t="s">
        <v>83</v>
      </c>
      <c r="B125" s="61">
        <v>5</v>
      </c>
      <c r="C125" s="144"/>
    </row>
    <row r="126" spans="1:3" x14ac:dyDescent="0.25">
      <c r="A126" s="11" t="s">
        <v>84</v>
      </c>
      <c r="B126" s="61">
        <v>6</v>
      </c>
      <c r="C126" s="144"/>
    </row>
    <row r="127" spans="1:3" x14ac:dyDescent="0.25">
      <c r="A127" s="11" t="s">
        <v>85</v>
      </c>
      <c r="B127" s="61">
        <v>7</v>
      </c>
      <c r="C127" s="144"/>
    </row>
    <row r="128" spans="1:3" x14ac:dyDescent="0.25">
      <c r="A128" s="11" t="s">
        <v>147</v>
      </c>
      <c r="B128" s="61">
        <v>8</v>
      </c>
      <c r="C128" s="144"/>
    </row>
    <row r="129" spans="1:3" x14ac:dyDescent="0.25">
      <c r="A129" s="11" t="s">
        <v>30</v>
      </c>
      <c r="B129" s="61" t="s">
        <v>139</v>
      </c>
      <c r="C129" s="144"/>
    </row>
    <row r="130" spans="1:3" x14ac:dyDescent="0.25">
      <c r="A130" s="4" t="s">
        <v>115</v>
      </c>
      <c r="B130" s="59"/>
      <c r="C130" s="144"/>
    </row>
    <row r="131" spans="1:3" x14ac:dyDescent="0.25">
      <c r="A131" s="7" t="s">
        <v>49</v>
      </c>
      <c r="B131" s="59">
        <v>0</v>
      </c>
      <c r="C131" s="144"/>
    </row>
    <row r="132" spans="1:3" x14ac:dyDescent="0.25">
      <c r="A132" s="7" t="s">
        <v>325</v>
      </c>
      <c r="B132" s="61">
        <v>1</v>
      </c>
      <c r="C132" s="144"/>
    </row>
    <row r="133" spans="1:3" x14ac:dyDescent="0.25">
      <c r="A133" s="7" t="s">
        <v>30</v>
      </c>
      <c r="B133" s="61" t="s">
        <v>139</v>
      </c>
      <c r="C133" s="144"/>
    </row>
    <row r="134" spans="1:3" x14ac:dyDescent="0.25">
      <c r="A134" s="4" t="s">
        <v>116</v>
      </c>
      <c r="B134" s="59"/>
      <c r="C134" s="144"/>
    </row>
    <row r="135" spans="1:3" x14ac:dyDescent="0.25">
      <c r="A135" s="45" t="s">
        <v>134</v>
      </c>
      <c r="B135" s="59" t="s">
        <v>121</v>
      </c>
      <c r="C135" s="144"/>
    </row>
    <row r="136" spans="1:3" x14ac:dyDescent="0.25">
      <c r="A136" s="7" t="s">
        <v>331</v>
      </c>
      <c r="B136" s="59" t="s">
        <v>5</v>
      </c>
      <c r="C136" s="144"/>
    </row>
    <row r="137" spans="1:3" x14ac:dyDescent="0.25">
      <c r="A137" s="7" t="s">
        <v>207</v>
      </c>
      <c r="B137" s="59" t="s">
        <v>6</v>
      </c>
      <c r="C137" s="144"/>
    </row>
    <row r="138" spans="1:3" x14ac:dyDescent="0.25">
      <c r="A138" s="7" t="s">
        <v>208</v>
      </c>
      <c r="B138" s="59" t="s">
        <v>7</v>
      </c>
      <c r="C138" s="144"/>
    </row>
    <row r="139" spans="1:3" x14ac:dyDescent="0.25">
      <c r="A139" s="7" t="s">
        <v>137</v>
      </c>
      <c r="B139" s="59" t="s">
        <v>8</v>
      </c>
      <c r="C139" s="144"/>
    </row>
    <row r="140" spans="1:3" x14ac:dyDescent="0.25">
      <c r="A140" s="11" t="s">
        <v>195</v>
      </c>
      <c r="B140" s="59" t="s">
        <v>9</v>
      </c>
      <c r="C140" s="144"/>
    </row>
    <row r="141" spans="1:3" x14ac:dyDescent="0.25">
      <c r="A141" s="11" t="s">
        <v>209</v>
      </c>
      <c r="B141" s="59" t="s">
        <v>10</v>
      </c>
      <c r="C141" s="144"/>
    </row>
    <row r="142" spans="1:3" x14ac:dyDescent="0.25">
      <c r="A142" s="11" t="s">
        <v>210</v>
      </c>
      <c r="B142" s="59" t="s">
        <v>11</v>
      </c>
      <c r="C142" s="144"/>
    </row>
    <row r="143" spans="1:3" x14ac:dyDescent="0.25">
      <c r="A143" s="11" t="s">
        <v>211</v>
      </c>
      <c r="B143" s="59" t="s">
        <v>12</v>
      </c>
      <c r="C143" s="144"/>
    </row>
    <row r="144" spans="1:3" x14ac:dyDescent="0.25">
      <c r="A144" s="11" t="s">
        <v>212</v>
      </c>
      <c r="B144" s="59" t="s">
        <v>13</v>
      </c>
      <c r="C144" s="144"/>
    </row>
    <row r="145" spans="1:3" x14ac:dyDescent="0.25">
      <c r="A145" s="11" t="s">
        <v>213</v>
      </c>
      <c r="B145" s="59" t="s">
        <v>14</v>
      </c>
      <c r="C145" s="144"/>
    </row>
    <row r="146" spans="1:3" x14ac:dyDescent="0.25">
      <c r="A146" s="11" t="s">
        <v>216</v>
      </c>
      <c r="B146" s="59" t="s">
        <v>15</v>
      </c>
      <c r="C146" s="144"/>
    </row>
    <row r="147" spans="1:3" x14ac:dyDescent="0.25">
      <c r="A147" s="11" t="s">
        <v>214</v>
      </c>
      <c r="B147" s="59" t="s">
        <v>16</v>
      </c>
      <c r="C147" s="144"/>
    </row>
    <row r="148" spans="1:3" x14ac:dyDescent="0.25">
      <c r="A148" s="11" t="s">
        <v>215</v>
      </c>
      <c r="B148" s="59" t="s">
        <v>17</v>
      </c>
      <c r="C148" s="144"/>
    </row>
    <row r="149" spans="1:3" x14ac:dyDescent="0.25">
      <c r="A149" s="11" t="s">
        <v>30</v>
      </c>
      <c r="B149" s="61" t="s">
        <v>140</v>
      </c>
      <c r="C149" s="144"/>
    </row>
    <row r="150" spans="1:3" x14ac:dyDescent="0.25">
      <c r="A150" s="4" t="s">
        <v>256</v>
      </c>
      <c r="B150" s="59"/>
      <c r="C150" s="144"/>
    </row>
    <row r="151" spans="1:3" x14ac:dyDescent="0.25">
      <c r="A151" s="11" t="s">
        <v>177</v>
      </c>
      <c r="B151" s="59" t="s">
        <v>5</v>
      </c>
      <c r="C151" s="144"/>
    </row>
    <row r="152" spans="1:3" x14ac:dyDescent="0.25">
      <c r="A152" s="11" t="s">
        <v>180</v>
      </c>
      <c r="B152" s="59" t="s">
        <v>6</v>
      </c>
      <c r="C152" s="144"/>
    </row>
    <row r="153" spans="1:3" x14ac:dyDescent="0.25">
      <c r="A153" s="11" t="s">
        <v>196</v>
      </c>
      <c r="B153" s="59" t="s">
        <v>7</v>
      </c>
      <c r="C153" s="144"/>
    </row>
    <row r="154" spans="1:3" x14ac:dyDescent="0.25">
      <c r="A154" s="11" t="s">
        <v>332</v>
      </c>
      <c r="B154" s="59" t="s">
        <v>8</v>
      </c>
      <c r="C154" s="144"/>
    </row>
    <row r="155" spans="1:3" x14ac:dyDescent="0.25">
      <c r="A155" s="11" t="s">
        <v>197</v>
      </c>
      <c r="B155" s="59" t="s">
        <v>9</v>
      </c>
      <c r="C155" s="144"/>
    </row>
    <row r="156" spans="1:3" x14ac:dyDescent="0.25">
      <c r="A156" s="11" t="s">
        <v>198</v>
      </c>
      <c r="B156" s="59" t="s">
        <v>10</v>
      </c>
      <c r="C156" s="144"/>
    </row>
    <row r="157" spans="1:3" x14ac:dyDescent="0.25">
      <c r="A157" s="11" t="s">
        <v>181</v>
      </c>
      <c r="B157" s="59" t="s">
        <v>11</v>
      </c>
      <c r="C157" s="144"/>
    </row>
    <row r="158" spans="1:3" x14ac:dyDescent="0.25">
      <c r="A158" s="11" t="s">
        <v>178</v>
      </c>
      <c r="B158" s="59" t="s">
        <v>12</v>
      </c>
      <c r="C158" s="144"/>
    </row>
    <row r="159" spans="1:3" x14ac:dyDescent="0.25">
      <c r="A159" s="11" t="s">
        <v>179</v>
      </c>
      <c r="B159" s="59" t="s">
        <v>13</v>
      </c>
      <c r="C159" s="144"/>
    </row>
    <row r="160" spans="1:3" x14ac:dyDescent="0.25">
      <c r="A160" s="11" t="s">
        <v>199</v>
      </c>
      <c r="B160" s="59" t="s">
        <v>14</v>
      </c>
      <c r="C160" s="144"/>
    </row>
    <row r="161" spans="1:3" x14ac:dyDescent="0.25">
      <c r="A161" s="11" t="s">
        <v>184</v>
      </c>
      <c r="B161" s="59" t="s">
        <v>15</v>
      </c>
      <c r="C161" s="144"/>
    </row>
    <row r="162" spans="1:3" x14ac:dyDescent="0.25">
      <c r="A162" s="11" t="s">
        <v>183</v>
      </c>
      <c r="B162" s="59" t="s">
        <v>16</v>
      </c>
      <c r="C162" s="144"/>
    </row>
    <row r="163" spans="1:3" x14ac:dyDescent="0.25">
      <c r="A163" s="11" t="s">
        <v>182</v>
      </c>
      <c r="B163" s="59" t="s">
        <v>17</v>
      </c>
      <c r="C163" s="144"/>
    </row>
    <row r="164" spans="1:3" x14ac:dyDescent="0.25">
      <c r="A164" s="11" t="s">
        <v>30</v>
      </c>
      <c r="B164" s="59" t="s">
        <v>140</v>
      </c>
      <c r="C164" s="144"/>
    </row>
    <row r="165" spans="1:3" x14ac:dyDescent="0.25">
      <c r="A165" s="4" t="s">
        <v>257</v>
      </c>
      <c r="B165" s="59"/>
      <c r="C165" s="144"/>
    </row>
    <row r="166" spans="1:3" x14ac:dyDescent="0.25">
      <c r="A166" s="11" t="s">
        <v>47</v>
      </c>
      <c r="B166" s="59" t="s">
        <v>5</v>
      </c>
      <c r="C166" s="144"/>
    </row>
    <row r="167" spans="1:3" x14ac:dyDescent="0.25">
      <c r="A167" s="11" t="s">
        <v>48</v>
      </c>
      <c r="B167" s="59" t="s">
        <v>6</v>
      </c>
      <c r="C167" s="144"/>
    </row>
    <row r="168" spans="1:3" x14ac:dyDescent="0.25">
      <c r="A168" s="11" t="s">
        <v>163</v>
      </c>
      <c r="B168" s="59" t="s">
        <v>7</v>
      </c>
      <c r="C168" s="144"/>
    </row>
    <row r="169" spans="1:3" x14ac:dyDescent="0.25">
      <c r="A169" s="11" t="s">
        <v>200</v>
      </c>
      <c r="B169" s="59" t="s">
        <v>8</v>
      </c>
      <c r="C169" s="144"/>
    </row>
    <row r="170" spans="1:3" x14ac:dyDescent="0.25">
      <c r="A170" s="11" t="s">
        <v>201</v>
      </c>
      <c r="B170" s="59" t="s">
        <v>9</v>
      </c>
      <c r="C170" s="144"/>
    </row>
    <row r="171" spans="1:3" x14ac:dyDescent="0.25">
      <c r="A171" s="11" t="s">
        <v>138</v>
      </c>
      <c r="B171" s="59" t="s">
        <v>10</v>
      </c>
      <c r="C171" s="144"/>
    </row>
    <row r="172" spans="1:3" x14ac:dyDescent="0.25">
      <c r="A172" s="11" t="s">
        <v>333</v>
      </c>
      <c r="B172" s="59" t="s">
        <v>11</v>
      </c>
      <c r="C172" s="144"/>
    </row>
    <row r="173" spans="1:3" x14ac:dyDescent="0.25">
      <c r="A173" s="11" t="s">
        <v>168</v>
      </c>
      <c r="B173" s="59" t="s">
        <v>12</v>
      </c>
      <c r="C173" s="144"/>
    </row>
    <row r="174" spans="1:3" x14ac:dyDescent="0.25">
      <c r="A174" s="11" t="s">
        <v>169</v>
      </c>
      <c r="B174" s="59" t="s">
        <v>13</v>
      </c>
      <c r="C174" s="144"/>
    </row>
    <row r="175" spans="1:3" x14ac:dyDescent="0.25">
      <c r="A175" s="11" t="s">
        <v>170</v>
      </c>
      <c r="B175" s="59" t="s">
        <v>14</v>
      </c>
      <c r="C175" s="144"/>
    </row>
    <row r="176" spans="1:3" x14ac:dyDescent="0.25">
      <c r="A176" s="11" t="s">
        <v>171</v>
      </c>
      <c r="B176" s="59" t="s">
        <v>15</v>
      </c>
      <c r="C176" s="144"/>
    </row>
    <row r="177" spans="1:3" x14ac:dyDescent="0.25">
      <c r="A177" s="11" t="s">
        <v>172</v>
      </c>
      <c r="B177" s="59" t="s">
        <v>16</v>
      </c>
      <c r="C177" s="144"/>
    </row>
    <row r="178" spans="1:3" x14ac:dyDescent="0.25">
      <c r="A178" s="11" t="s">
        <v>202</v>
      </c>
      <c r="B178" s="59" t="s">
        <v>17</v>
      </c>
      <c r="C178" s="144"/>
    </row>
    <row r="179" spans="1:3" x14ac:dyDescent="0.25">
      <c r="A179" s="11" t="s">
        <v>203</v>
      </c>
      <c r="B179" s="59" t="s">
        <v>18</v>
      </c>
      <c r="C179" s="144"/>
    </row>
    <row r="180" spans="1:3" x14ac:dyDescent="0.25">
      <c r="A180" s="11" t="s">
        <v>204</v>
      </c>
      <c r="B180" s="59" t="s">
        <v>19</v>
      </c>
      <c r="C180" s="144"/>
    </row>
    <row r="181" spans="1:3" x14ac:dyDescent="0.25">
      <c r="A181" s="11" t="s">
        <v>205</v>
      </c>
      <c r="B181" s="59" t="s">
        <v>20</v>
      </c>
      <c r="C181" s="144"/>
    </row>
    <row r="182" spans="1:3" x14ac:dyDescent="0.25">
      <c r="A182" s="11" t="s">
        <v>206</v>
      </c>
      <c r="B182" s="59" t="s">
        <v>21</v>
      </c>
      <c r="C182" s="144"/>
    </row>
    <row r="183" spans="1:3" x14ac:dyDescent="0.25">
      <c r="A183" s="11" t="s">
        <v>173</v>
      </c>
      <c r="B183" s="59" t="s">
        <v>22</v>
      </c>
      <c r="C183" s="144"/>
    </row>
    <row r="184" spans="1:3" x14ac:dyDescent="0.25">
      <c r="A184" s="11" t="s">
        <v>174</v>
      </c>
      <c r="B184" s="59" t="s">
        <v>23</v>
      </c>
      <c r="C184" s="144"/>
    </row>
    <row r="185" spans="1:3" x14ac:dyDescent="0.25">
      <c r="A185" s="11" t="s">
        <v>175</v>
      </c>
      <c r="B185" s="59" t="s">
        <v>24</v>
      </c>
      <c r="C185" s="144"/>
    </row>
    <row r="186" spans="1:3" x14ac:dyDescent="0.25">
      <c r="A186" s="11" t="s">
        <v>176</v>
      </c>
      <c r="B186" s="59" t="s">
        <v>25</v>
      </c>
      <c r="C186" s="144"/>
    </row>
    <row r="187" spans="1:3" x14ac:dyDescent="0.25">
      <c r="A187" s="11" t="s">
        <v>164</v>
      </c>
      <c r="B187" s="59" t="s">
        <v>26</v>
      </c>
      <c r="C187" s="144"/>
    </row>
    <row r="188" spans="1:3" x14ac:dyDescent="0.25">
      <c r="A188" s="11" t="s">
        <v>165</v>
      </c>
      <c r="B188" s="59" t="s">
        <v>27</v>
      </c>
      <c r="C188" s="144"/>
    </row>
    <row r="189" spans="1:3" x14ac:dyDescent="0.25">
      <c r="A189" s="11" t="s">
        <v>166</v>
      </c>
      <c r="B189" s="59" t="s">
        <v>28</v>
      </c>
      <c r="C189" s="144"/>
    </row>
    <row r="190" spans="1:3" x14ac:dyDescent="0.25">
      <c r="A190" s="11" t="s">
        <v>167</v>
      </c>
      <c r="B190" s="59" t="s">
        <v>29</v>
      </c>
      <c r="C190" s="144"/>
    </row>
    <row r="191" spans="1:3" x14ac:dyDescent="0.25">
      <c r="A191" s="11" t="s">
        <v>30</v>
      </c>
      <c r="B191" s="59" t="s">
        <v>140</v>
      </c>
      <c r="C191" s="144"/>
    </row>
    <row r="192" spans="1:3" x14ac:dyDescent="0.25">
      <c r="A192" s="4" t="s">
        <v>46</v>
      </c>
      <c r="B192" s="62"/>
      <c r="C192" s="144"/>
    </row>
    <row r="193" spans="1:3" x14ac:dyDescent="0.25">
      <c r="A193" s="7" t="s">
        <v>29</v>
      </c>
      <c r="B193" s="61" t="s">
        <v>44</v>
      </c>
      <c r="C193" s="144"/>
    </row>
    <row r="194" spans="1:3" x14ac:dyDescent="0.25">
      <c r="A194" s="7" t="s">
        <v>130</v>
      </c>
      <c r="B194" s="61">
        <v>2</v>
      </c>
      <c r="C194" s="144"/>
    </row>
    <row r="195" spans="1:3" x14ac:dyDescent="0.25">
      <c r="A195" s="7" t="s">
        <v>402</v>
      </c>
      <c r="B195" s="61">
        <v>3</v>
      </c>
      <c r="C195" s="144"/>
    </row>
    <row r="196" spans="1:3" x14ac:dyDescent="0.25">
      <c r="A196" s="7" t="s">
        <v>161</v>
      </c>
      <c r="B196" s="61">
        <v>4</v>
      </c>
      <c r="C196" s="144"/>
    </row>
    <row r="197" spans="1:3" x14ac:dyDescent="0.25">
      <c r="A197" s="7" t="s">
        <v>159</v>
      </c>
      <c r="B197" s="61">
        <v>5</v>
      </c>
      <c r="C197" s="144"/>
    </row>
    <row r="198" spans="1:3" x14ac:dyDescent="0.25">
      <c r="A198" s="7" t="s">
        <v>160</v>
      </c>
      <c r="B198" s="61">
        <v>6</v>
      </c>
      <c r="C198" s="144"/>
    </row>
    <row r="199" spans="1:3" x14ac:dyDescent="0.25">
      <c r="A199" s="7" t="s">
        <v>30</v>
      </c>
      <c r="B199" s="61" t="s">
        <v>139</v>
      </c>
      <c r="C199" s="144"/>
    </row>
    <row r="200" spans="1:3" x14ac:dyDescent="0.25">
      <c r="A200" s="4" t="s">
        <v>335</v>
      </c>
      <c r="C200" s="144"/>
    </row>
    <row r="201" spans="1:3" x14ac:dyDescent="0.25">
      <c r="A201" s="7" t="s">
        <v>334</v>
      </c>
      <c r="B201" s="61">
        <v>1</v>
      </c>
      <c r="C201" s="144"/>
    </row>
    <row r="202" spans="1:3" x14ac:dyDescent="0.25">
      <c r="A202" s="7" t="s">
        <v>149</v>
      </c>
      <c r="B202" s="61">
        <v>2</v>
      </c>
      <c r="C202" s="144"/>
    </row>
    <row r="203" spans="1:3" x14ac:dyDescent="0.25">
      <c r="A203" s="7" t="s">
        <v>30</v>
      </c>
      <c r="B203" s="61" t="s">
        <v>139</v>
      </c>
      <c r="C203" s="144"/>
    </row>
    <row r="204" spans="1:3" x14ac:dyDescent="0.25">
      <c r="A204" s="55" t="s">
        <v>162</v>
      </c>
      <c r="B204" s="61"/>
      <c r="C204" s="144"/>
    </row>
    <row r="205" spans="1:3" x14ac:dyDescent="0.25">
      <c r="A205" s="11" t="s">
        <v>403</v>
      </c>
      <c r="B205" s="61">
        <v>1</v>
      </c>
      <c r="C205" s="144"/>
    </row>
    <row r="206" spans="1:3" x14ac:dyDescent="0.25">
      <c r="A206" s="7" t="s">
        <v>30</v>
      </c>
      <c r="B206" s="61" t="s">
        <v>139</v>
      </c>
      <c r="C206" s="144"/>
    </row>
    <row r="207" spans="1:3" x14ac:dyDescent="0.25">
      <c r="A207" s="4" t="s">
        <v>379</v>
      </c>
      <c r="B207" s="59"/>
      <c r="C207" s="144"/>
    </row>
    <row r="208" spans="1:3" x14ac:dyDescent="0.25">
      <c r="A208" s="11" t="s">
        <v>50</v>
      </c>
      <c r="B208" s="59" t="s">
        <v>121</v>
      </c>
      <c r="C208" s="144"/>
    </row>
    <row r="209" spans="1:3" ht="27.75" x14ac:dyDescent="0.25">
      <c r="A209" s="12" t="s">
        <v>217</v>
      </c>
      <c r="B209" s="59" t="s">
        <v>5</v>
      </c>
      <c r="C209" s="144"/>
    </row>
    <row r="210" spans="1:3" ht="31.5" x14ac:dyDescent="0.25">
      <c r="A210" s="12" t="s">
        <v>218</v>
      </c>
      <c r="B210" s="59" t="s">
        <v>6</v>
      </c>
      <c r="C210" s="144"/>
    </row>
    <row r="211" spans="1:3" ht="30" x14ac:dyDescent="0.25">
      <c r="A211" s="12" t="s">
        <v>336</v>
      </c>
      <c r="B211" s="59" t="s">
        <v>7</v>
      </c>
      <c r="C211" s="144"/>
    </row>
    <row r="212" spans="1:3" ht="27.75" x14ac:dyDescent="0.25">
      <c r="A212" s="12" t="s">
        <v>322</v>
      </c>
      <c r="B212" s="59" t="s">
        <v>8</v>
      </c>
      <c r="C212" s="144"/>
    </row>
    <row r="213" spans="1:3" ht="31.5" x14ac:dyDescent="0.25">
      <c r="A213" s="12" t="s">
        <v>323</v>
      </c>
      <c r="B213" s="59" t="s">
        <v>9</v>
      </c>
      <c r="C213" s="144"/>
    </row>
    <row r="214" spans="1:3" ht="27.75" x14ac:dyDescent="0.25">
      <c r="A214" s="12" t="s">
        <v>324</v>
      </c>
      <c r="B214" s="59" t="s">
        <v>10</v>
      </c>
      <c r="C214" s="144"/>
    </row>
    <row r="215" spans="1:3" x14ac:dyDescent="0.25">
      <c r="A215" s="12" t="s">
        <v>219</v>
      </c>
      <c r="B215" s="59" t="s">
        <v>320</v>
      </c>
      <c r="C215" s="144"/>
    </row>
    <row r="216" spans="1:3" ht="27" x14ac:dyDescent="0.25">
      <c r="A216" s="12" t="s">
        <v>260</v>
      </c>
      <c r="B216" s="59" t="s">
        <v>12</v>
      </c>
      <c r="C216" s="144"/>
    </row>
    <row r="217" spans="1:3" ht="30.75" x14ac:dyDescent="0.25">
      <c r="A217" s="12" t="s">
        <v>261</v>
      </c>
      <c r="B217" s="59" t="s">
        <v>13</v>
      </c>
      <c r="C217" s="144"/>
    </row>
    <row r="218" spans="1:3" ht="27" x14ac:dyDescent="0.25">
      <c r="A218" s="12" t="s">
        <v>262</v>
      </c>
      <c r="B218" s="59" t="s">
        <v>14</v>
      </c>
      <c r="C218" s="144"/>
    </row>
    <row r="219" spans="1:3" ht="24.75" customHeight="1" x14ac:dyDescent="0.25">
      <c r="A219" s="12" t="s">
        <v>263</v>
      </c>
      <c r="B219" s="59" t="s">
        <v>185</v>
      </c>
      <c r="C219" s="144"/>
    </row>
    <row r="220" spans="1:3" ht="32.25" x14ac:dyDescent="0.25">
      <c r="A220" s="12" t="s">
        <v>264</v>
      </c>
      <c r="B220" s="59" t="s">
        <v>16</v>
      </c>
      <c r="C220" s="144"/>
    </row>
    <row r="221" spans="1:3" ht="32.25" x14ac:dyDescent="0.25">
      <c r="A221" s="12" t="s">
        <v>265</v>
      </c>
      <c r="B221" s="59" t="s">
        <v>17</v>
      </c>
      <c r="C221" s="144"/>
    </row>
    <row r="222" spans="1:3" ht="27" x14ac:dyDescent="0.25">
      <c r="A222" s="12" t="s">
        <v>220</v>
      </c>
      <c r="B222" s="59" t="s">
        <v>18</v>
      </c>
      <c r="C222" s="144"/>
    </row>
    <row r="223" spans="1:3" x14ac:dyDescent="0.25">
      <c r="A223" s="12" t="s">
        <v>385</v>
      </c>
      <c r="B223" s="59" t="s">
        <v>19</v>
      </c>
      <c r="C223" s="144"/>
    </row>
    <row r="224" spans="1:3" x14ac:dyDescent="0.25">
      <c r="A224" s="12" t="s">
        <v>386</v>
      </c>
      <c r="B224" s="59" t="s">
        <v>20</v>
      </c>
      <c r="C224" s="144"/>
    </row>
    <row r="225" spans="1:3" x14ac:dyDescent="0.25">
      <c r="A225" s="12" t="s">
        <v>187</v>
      </c>
      <c r="B225" s="59" t="s">
        <v>21</v>
      </c>
      <c r="C225" s="144"/>
    </row>
    <row r="226" spans="1:3" x14ac:dyDescent="0.25">
      <c r="A226" s="4" t="s">
        <v>380</v>
      </c>
      <c r="B226" s="61"/>
      <c r="C226" s="144"/>
    </row>
    <row r="227" spans="1:3" x14ac:dyDescent="0.25">
      <c r="A227" s="13" t="s">
        <v>392</v>
      </c>
      <c r="B227" s="61"/>
      <c r="C227" s="144"/>
    </row>
    <row r="228" spans="1:3" x14ac:dyDescent="0.25">
      <c r="A228" s="4" t="s">
        <v>404</v>
      </c>
      <c r="B228" s="61"/>
      <c r="C228" s="144"/>
    </row>
    <row r="229" spans="1:3" x14ac:dyDescent="0.25">
      <c r="A229" s="12" t="s">
        <v>406</v>
      </c>
      <c r="B229" s="61">
        <v>0</v>
      </c>
      <c r="C229" s="144"/>
    </row>
    <row r="230" spans="1:3" x14ac:dyDescent="0.25">
      <c r="A230" s="12" t="s">
        <v>407</v>
      </c>
      <c r="B230" s="61">
        <v>1</v>
      </c>
      <c r="C230" s="144"/>
    </row>
    <row r="231" spans="1:3" x14ac:dyDescent="0.25">
      <c r="A231" s="4" t="s">
        <v>188</v>
      </c>
      <c r="B231" s="62"/>
      <c r="C231" s="144"/>
    </row>
    <row r="232" spans="1:3" x14ac:dyDescent="0.25">
      <c r="A232" s="13" t="s">
        <v>51</v>
      </c>
      <c r="B232" s="62"/>
      <c r="C232" s="144"/>
    </row>
    <row r="233" spans="1:3" x14ac:dyDescent="0.25">
      <c r="A233" s="4" t="s">
        <v>57</v>
      </c>
      <c r="B233" s="62"/>
      <c r="C233" s="144"/>
    </row>
    <row r="234" spans="1:3" x14ac:dyDescent="0.25">
      <c r="A234" s="8" t="s">
        <v>190</v>
      </c>
      <c r="B234" s="61">
        <v>1</v>
      </c>
      <c r="C234" s="144"/>
    </row>
    <row r="235" spans="1:3" x14ac:dyDescent="0.25">
      <c r="A235" s="8" t="s">
        <v>191</v>
      </c>
      <c r="B235" s="61">
        <v>2</v>
      </c>
      <c r="C235" s="144"/>
    </row>
    <row r="236" spans="1:3" ht="15.75" customHeight="1" x14ac:dyDescent="0.25">
      <c r="A236" s="8" t="s">
        <v>52</v>
      </c>
      <c r="B236" s="61">
        <v>3</v>
      </c>
      <c r="C236" s="144"/>
    </row>
    <row r="237" spans="1:3" x14ac:dyDescent="0.25">
      <c r="A237" s="8" t="s">
        <v>53</v>
      </c>
      <c r="B237" s="61">
        <v>4</v>
      </c>
      <c r="C237" s="144"/>
    </row>
    <row r="238" spans="1:3" x14ac:dyDescent="0.25">
      <c r="A238" s="8" t="s">
        <v>54</v>
      </c>
      <c r="B238" s="61">
        <v>5</v>
      </c>
      <c r="C238" s="144"/>
    </row>
    <row r="239" spans="1:3" x14ac:dyDescent="0.25">
      <c r="A239" s="8" t="s">
        <v>337</v>
      </c>
      <c r="B239" s="61">
        <v>6</v>
      </c>
      <c r="C239" s="144"/>
    </row>
    <row r="240" spans="1:3" x14ac:dyDescent="0.25">
      <c r="A240" s="8" t="s">
        <v>55</v>
      </c>
      <c r="B240" s="61">
        <v>7</v>
      </c>
      <c r="C240" s="144"/>
    </row>
    <row r="241" spans="1:3" x14ac:dyDescent="0.25">
      <c r="A241" s="8" t="s">
        <v>56</v>
      </c>
      <c r="B241" s="61">
        <v>8</v>
      </c>
      <c r="C241" s="144"/>
    </row>
    <row r="242" spans="1:3" x14ac:dyDescent="0.25">
      <c r="A242" s="8" t="s">
        <v>192</v>
      </c>
      <c r="B242" s="61">
        <v>9</v>
      </c>
      <c r="C242" s="144"/>
    </row>
    <row r="243" spans="1:3" x14ac:dyDescent="0.25">
      <c r="A243" s="4" t="s">
        <v>194</v>
      </c>
      <c r="B243" s="62"/>
      <c r="C243" s="144"/>
    </row>
    <row r="244" spans="1:3" x14ac:dyDescent="0.25">
      <c r="A244" s="8" t="s">
        <v>50</v>
      </c>
      <c r="B244" s="61">
        <v>0</v>
      </c>
      <c r="C244" s="144"/>
    </row>
    <row r="245" spans="1:3" x14ac:dyDescent="0.25">
      <c r="A245" s="8" t="s">
        <v>193</v>
      </c>
      <c r="B245" s="61">
        <v>1</v>
      </c>
      <c r="C245" s="144"/>
    </row>
    <row r="246" spans="1:3" x14ac:dyDescent="0.25">
      <c r="A246" s="4" t="s">
        <v>383</v>
      </c>
      <c r="B246" s="62"/>
      <c r="C246" s="144"/>
    </row>
    <row r="247" spans="1:3" x14ac:dyDescent="0.25">
      <c r="A247" s="8" t="s">
        <v>384</v>
      </c>
      <c r="B247" s="61">
        <v>0</v>
      </c>
      <c r="C247" s="144"/>
    </row>
    <row r="248" spans="1:3" ht="30" x14ac:dyDescent="0.25">
      <c r="A248" s="8" t="s">
        <v>393</v>
      </c>
      <c r="B248" s="61">
        <v>1</v>
      </c>
      <c r="C248" s="144"/>
    </row>
    <row r="249" spans="1:3" x14ac:dyDescent="0.25">
      <c r="A249" s="8" t="s">
        <v>387</v>
      </c>
      <c r="B249" s="61">
        <v>2</v>
      </c>
      <c r="C249" s="144"/>
    </row>
    <row r="250" spans="1:3" x14ac:dyDescent="0.25">
      <c r="A250" s="8" t="s">
        <v>388</v>
      </c>
      <c r="B250" s="61">
        <v>3</v>
      </c>
      <c r="C250" s="144"/>
    </row>
    <row r="251" spans="1:3" ht="30" x14ac:dyDescent="0.25">
      <c r="A251" s="8" t="s">
        <v>394</v>
      </c>
      <c r="B251" s="61">
        <v>4</v>
      </c>
      <c r="C251" s="144"/>
    </row>
    <row r="252" spans="1:3" x14ac:dyDescent="0.25">
      <c r="A252" s="8" t="s">
        <v>390</v>
      </c>
      <c r="B252" s="61">
        <v>5</v>
      </c>
      <c r="C252" s="144"/>
    </row>
    <row r="253" spans="1:3" x14ac:dyDescent="0.25">
      <c r="A253" s="8" t="s">
        <v>391</v>
      </c>
      <c r="B253" s="61">
        <v>6</v>
      </c>
      <c r="C253" s="144"/>
    </row>
    <row r="254" spans="1:3" x14ac:dyDescent="0.25">
      <c r="A254" s="8" t="s">
        <v>389</v>
      </c>
      <c r="B254" s="61" t="s">
        <v>139</v>
      </c>
      <c r="C254" s="144"/>
    </row>
    <row r="255" spans="1:3" x14ac:dyDescent="0.25">
      <c r="A255" s="4" t="s">
        <v>120</v>
      </c>
      <c r="B255" s="61"/>
      <c r="C255" s="144"/>
    </row>
    <row r="256" spans="1:3" x14ac:dyDescent="0.25">
      <c r="A256" s="13" t="s">
        <v>106</v>
      </c>
      <c r="B256" s="61"/>
      <c r="C256" s="144"/>
    </row>
    <row r="257" spans="1:3" x14ac:dyDescent="0.25">
      <c r="A257" s="4" t="s">
        <v>59</v>
      </c>
      <c r="B257" s="62"/>
      <c r="C257" s="144"/>
    </row>
    <row r="258" spans="1:3" x14ac:dyDescent="0.25">
      <c r="A258" s="8" t="s">
        <v>65</v>
      </c>
      <c r="B258" s="61">
        <v>0</v>
      </c>
      <c r="C258" s="144"/>
    </row>
    <row r="259" spans="1:3" x14ac:dyDescent="0.25">
      <c r="A259" s="8" t="s">
        <v>66</v>
      </c>
      <c r="B259" s="61">
        <v>1</v>
      </c>
      <c r="C259" s="144"/>
    </row>
    <row r="260" spans="1:3" x14ac:dyDescent="0.25">
      <c r="A260" s="8" t="s">
        <v>30</v>
      </c>
      <c r="B260" s="61" t="s">
        <v>139</v>
      </c>
      <c r="C260" s="144"/>
    </row>
    <row r="261" spans="1:3" x14ac:dyDescent="0.25">
      <c r="A261" s="4" t="s">
        <v>60</v>
      </c>
      <c r="B261" s="62"/>
      <c r="C261" s="144"/>
    </row>
    <row r="262" spans="1:3" x14ac:dyDescent="0.25">
      <c r="A262" s="8" t="s">
        <v>67</v>
      </c>
      <c r="B262" s="61">
        <v>1</v>
      </c>
      <c r="C262" s="144"/>
    </row>
    <row r="263" spans="1:3" x14ac:dyDescent="0.25">
      <c r="A263" s="8" t="s">
        <v>68</v>
      </c>
      <c r="B263" s="61">
        <v>2</v>
      </c>
      <c r="C263" s="144"/>
    </row>
    <row r="264" spans="1:3" x14ac:dyDescent="0.25">
      <c r="A264" s="8" t="s">
        <v>69</v>
      </c>
      <c r="B264" s="61">
        <v>3</v>
      </c>
      <c r="C264" s="144"/>
    </row>
    <row r="265" spans="1:3" x14ac:dyDescent="0.25">
      <c r="A265" s="8" t="s">
        <v>30</v>
      </c>
      <c r="B265" s="61" t="s">
        <v>139</v>
      </c>
      <c r="C265" s="144"/>
    </row>
    <row r="266" spans="1:3" x14ac:dyDescent="0.25">
      <c r="A266" s="4" t="s">
        <v>61</v>
      </c>
      <c r="B266" s="62"/>
      <c r="C266" s="144"/>
    </row>
    <row r="267" spans="1:3" x14ac:dyDescent="0.25">
      <c r="A267" s="8" t="s">
        <v>62</v>
      </c>
      <c r="B267" s="61">
        <v>1</v>
      </c>
      <c r="C267" s="144"/>
    </row>
    <row r="268" spans="1:3" x14ac:dyDescent="0.25">
      <c r="A268" s="8" t="s">
        <v>266</v>
      </c>
      <c r="B268" s="61">
        <v>2</v>
      </c>
      <c r="C268" s="144"/>
    </row>
    <row r="269" spans="1:3" x14ac:dyDescent="0.25">
      <c r="A269" s="8" t="s">
        <v>63</v>
      </c>
      <c r="B269" s="61">
        <v>3</v>
      </c>
      <c r="C269" s="144"/>
    </row>
    <row r="270" spans="1:3" x14ac:dyDescent="0.25">
      <c r="A270" s="8" t="s">
        <v>338</v>
      </c>
      <c r="B270" s="61">
        <v>4</v>
      </c>
      <c r="C270" s="144"/>
    </row>
    <row r="271" spans="1:3" x14ac:dyDescent="0.25">
      <c r="A271" s="8" t="s">
        <v>64</v>
      </c>
      <c r="B271" s="61">
        <v>5</v>
      </c>
      <c r="C271" s="144"/>
    </row>
    <row r="272" spans="1:3" x14ac:dyDescent="0.25">
      <c r="A272" s="8" t="s">
        <v>30</v>
      </c>
      <c r="B272" s="61" t="s">
        <v>139</v>
      </c>
      <c r="C272" s="144"/>
    </row>
  </sheetData>
  <sheetProtection algorithmName="SHA-512" hashValue="+YYKslsBCz7vB7/rLbCmpny5nnT/k9xSWSpExdMf8pcNsIdvuQdzFT+A3tw7dm6rycdxEFd1Kskf5Vybr4L1tg==" saltValue="AsGTfFxiE8w1EAoTt01/3g==" spinCount="100000" sheet="1" formatRows="0" selectLockedCells="1"/>
  <phoneticPr fontId="17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workbookViewId="0">
      <selection activeCell="B7" sqref="B7"/>
    </sheetView>
  </sheetViews>
  <sheetFormatPr defaultRowHeight="15" x14ac:dyDescent="0.25"/>
  <cols>
    <col min="1" max="1" width="6.140625" customWidth="1"/>
    <col min="2" max="2" width="5" style="14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8" t="s">
        <v>32</v>
      </c>
      <c r="B1" s="19"/>
      <c r="C1" s="20"/>
      <c r="D1" s="20"/>
      <c r="E1" s="32" t="s">
        <v>72</v>
      </c>
      <c r="F1" s="29">
        <f>COUNTBLANK(KodyOC)</f>
        <v>38</v>
      </c>
      <c r="G1" s="34" t="s">
        <v>78</v>
      </c>
      <c r="H1" s="49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",""))</f>
        <v/>
      </c>
    </row>
    <row r="2" spans="1:8" ht="14.25" customHeight="1" thickBot="1" x14ac:dyDescent="0.4">
      <c r="A2" s="18"/>
      <c r="B2" s="19"/>
      <c r="D2" s="20"/>
      <c r="E2" s="33" t="s">
        <v>76</v>
      </c>
      <c r="F2" s="29">
        <f>COUNTBLANK(KodyOC_HW)</f>
        <v>16</v>
      </c>
      <c r="G2" s="35"/>
      <c r="H2" s="21"/>
    </row>
    <row r="3" spans="1:8" ht="15.75" thickBot="1" x14ac:dyDescent="0.3">
      <c r="A3" s="40" t="s">
        <v>122</v>
      </c>
      <c r="B3" s="41" t="s">
        <v>123</v>
      </c>
      <c r="C3" s="42" t="s">
        <v>124</v>
      </c>
      <c r="D3" s="43" t="s">
        <v>125</v>
      </c>
      <c r="E3" s="44"/>
      <c r="F3" s="29"/>
      <c r="G3" s="35"/>
      <c r="H3" s="21"/>
    </row>
    <row r="4" spans="1:8" ht="15.75" x14ac:dyDescent="0.25">
      <c r="A4" s="22">
        <v>0</v>
      </c>
      <c r="B4" s="23" t="s">
        <v>367</v>
      </c>
      <c r="C4" s="24"/>
      <c r="D4" s="24"/>
      <c r="E4" s="20"/>
      <c r="F4" s="20"/>
      <c r="G4" s="31" t="s">
        <v>73</v>
      </c>
      <c r="H4" s="20"/>
    </row>
    <row r="5" spans="1:8" x14ac:dyDescent="0.25">
      <c r="A5" s="25">
        <f>Specifikace!B5</f>
        <v>5</v>
      </c>
      <c r="B5" s="26" t="str">
        <f>Specifikace!E5</f>
        <v/>
      </c>
      <c r="C5" s="27" t="str">
        <f>Specifikace!C5</f>
        <v>Provedení měřicího čidla</v>
      </c>
      <c r="D5" s="28">
        <f>Specifikace!D5</f>
        <v>0</v>
      </c>
      <c r="E5" s="24"/>
      <c r="F5" s="20"/>
      <c r="G5" s="47" t="str">
        <f>IF(MID(B5,1,1)="X",C5,"")</f>
        <v/>
      </c>
      <c r="H5" s="20"/>
    </row>
    <row r="6" spans="1:8" x14ac:dyDescent="0.25">
      <c r="A6" s="25">
        <f>Specifikace!B6</f>
        <v>6</v>
      </c>
      <c r="B6" s="26" t="str">
        <f>Specifikace!E6</f>
        <v/>
      </c>
      <c r="C6" s="27" t="str">
        <f>Specifikace!C6</f>
        <v>Konstrukční provedení průtokoměru</v>
      </c>
      <c r="D6" s="28">
        <f>Specifikace!D6</f>
        <v>0</v>
      </c>
      <c r="E6" s="24"/>
      <c r="F6" s="20"/>
      <c r="G6" s="48" t="str">
        <f>IF(MID(B6,1,1)="X",C6,"")</f>
        <v/>
      </c>
      <c r="H6" s="20"/>
    </row>
    <row r="7" spans="1:8" x14ac:dyDescent="0.25">
      <c r="A7" s="25" t="str">
        <f>Specifikace!B7</f>
        <v xml:space="preserve"> - </v>
      </c>
      <c r="B7" s="26" t="str">
        <f>Specifikace!E7</f>
        <v>.2-</v>
      </c>
      <c r="C7" s="27" t="str">
        <f>Specifikace!C7</f>
        <v>TECHNICKÉ PARAMETRY</v>
      </c>
      <c r="D7" s="28" t="str">
        <f>Specifikace!D7</f>
        <v xml:space="preserve"> - </v>
      </c>
      <c r="E7" s="24"/>
      <c r="F7" s="20"/>
      <c r="G7" s="48" t="str">
        <f t="shared" ref="G7:G47" si="0">IF(MID(B7,1,1)="X",C7,"")</f>
        <v/>
      </c>
      <c r="H7" s="20"/>
    </row>
    <row r="8" spans="1:8" x14ac:dyDescent="0.25">
      <c r="A8" s="25">
        <f>Specifikace!B8</f>
        <v>8</v>
      </c>
      <c r="B8" s="26" t="str">
        <f>Specifikace!E8</f>
        <v/>
      </c>
      <c r="C8" s="27" t="str">
        <f>Specifikace!C8</f>
        <v>Dimenze čidla  ~  maximální průtok</v>
      </c>
      <c r="D8" s="28">
        <f>Specifikace!D8</f>
        <v>0</v>
      </c>
      <c r="E8" s="24"/>
      <c r="F8" s="20"/>
      <c r="G8" s="48" t="str">
        <f t="shared" si="0"/>
        <v/>
      </c>
      <c r="H8" s="20"/>
    </row>
    <row r="9" spans="1:8" x14ac:dyDescent="0.25">
      <c r="A9" s="25">
        <f>Specifikace!B9</f>
        <v>9</v>
      </c>
      <c r="B9" s="26" t="str">
        <f>Specifikace!E9</f>
        <v/>
      </c>
      <c r="C9" s="27" t="str">
        <f>Specifikace!C9</f>
        <v>Příruby čidla</v>
      </c>
      <c r="D9" s="28">
        <f>Specifikace!D9</f>
        <v>0</v>
      </c>
      <c r="E9" s="24"/>
      <c r="F9" s="20"/>
      <c r="G9" s="48" t="str">
        <f t="shared" si="0"/>
        <v/>
      </c>
      <c r="H9" s="20"/>
    </row>
    <row r="10" spans="1:8" x14ac:dyDescent="0.25">
      <c r="A10" s="25">
        <f>Specifikace!B10</f>
        <v>10</v>
      </c>
      <c r="B10" s="26" t="str">
        <f>Specifikace!E10</f>
        <v/>
      </c>
      <c r="C10" s="27" t="str">
        <f>Specifikace!C10</f>
        <v>Materiál a povrchová úprava čidla</v>
      </c>
      <c r="D10" s="28">
        <f>Specifikace!D10</f>
        <v>0</v>
      </c>
      <c r="E10" s="24"/>
      <c r="F10" s="20"/>
      <c r="G10" s="48" t="str">
        <f t="shared" si="0"/>
        <v/>
      </c>
      <c r="H10" s="20"/>
    </row>
    <row r="11" spans="1:8" x14ac:dyDescent="0.25">
      <c r="A11" s="25">
        <f>Specifikace!B11</f>
        <v>11</v>
      </c>
      <c r="B11" s="26" t="str">
        <f>Specifikace!E11</f>
        <v/>
      </c>
      <c r="C11" s="27" t="str">
        <f>Specifikace!C11</f>
        <v>Materiál elektrod</v>
      </c>
      <c r="D11" s="28">
        <f>Specifikace!D11</f>
        <v>0</v>
      </c>
      <c r="E11" s="24"/>
      <c r="F11" s="20"/>
      <c r="G11" s="48" t="str">
        <f t="shared" si="0"/>
        <v/>
      </c>
      <c r="H11" s="20"/>
    </row>
    <row r="12" spans="1:8" x14ac:dyDescent="0.25">
      <c r="A12" s="25">
        <f>Specifikace!B12</f>
        <v>12</v>
      </c>
      <c r="B12" s="26" t="str">
        <f>Specifikace!E12</f>
        <v/>
      </c>
      <c r="C12" s="27" t="str">
        <f>Specifikace!C12</f>
        <v>Výstelka čidla</v>
      </c>
      <c r="D12" s="28">
        <f>Specifikace!D12</f>
        <v>0</v>
      </c>
      <c r="E12" s="24"/>
      <c r="F12" s="20"/>
      <c r="G12" s="48" t="str">
        <f t="shared" si="0"/>
        <v/>
      </c>
      <c r="H12" s="20"/>
    </row>
    <row r="13" spans="1:8" x14ac:dyDescent="0.25">
      <c r="A13" s="25">
        <f>Specifikace!B13</f>
        <v>13</v>
      </c>
      <c r="B13" s="26" t="str">
        <f>Specifikace!E13</f>
        <v/>
      </c>
      <c r="C13" s="27" t="str">
        <f>Specifikace!C13</f>
        <v>Krytí čidla</v>
      </c>
      <c r="D13" s="28">
        <f>Specifikace!D13</f>
        <v>0</v>
      </c>
      <c r="E13" s="24"/>
      <c r="F13" s="20"/>
      <c r="G13" s="48" t="str">
        <f t="shared" si="0"/>
        <v/>
      </c>
      <c r="H13" s="20"/>
    </row>
    <row r="14" spans="1:8" x14ac:dyDescent="0.25">
      <c r="A14" s="25">
        <f>Specifikace!B14</f>
        <v>14</v>
      </c>
      <c r="B14" s="26" t="str">
        <f>Specifikace!E14</f>
        <v/>
      </c>
      <c r="C14" s="27" t="str">
        <f>Specifikace!C14</f>
        <v>Zemnicí elektroda</v>
      </c>
      <c r="D14" s="28">
        <f>Specifikace!D14</f>
        <v>0</v>
      </c>
      <c r="E14" s="24"/>
      <c r="F14" s="20"/>
      <c r="G14" s="48" t="str">
        <f t="shared" si="0"/>
        <v/>
      </c>
      <c r="H14" s="20"/>
    </row>
    <row r="15" spans="1:8" x14ac:dyDescent="0.25">
      <c r="A15" s="25">
        <f>Specifikace!B15</f>
        <v>15</v>
      </c>
      <c r="B15" s="26" t="str">
        <f>Specifikace!E15</f>
        <v/>
      </c>
      <c r="C15" s="27" t="str">
        <f>Specifikace!C15</f>
        <v>Jmenovitý tlak (PN)</v>
      </c>
      <c r="D15" s="28">
        <f>Specifikace!D15</f>
        <v>0</v>
      </c>
      <c r="E15" s="24"/>
      <c r="F15" s="20"/>
      <c r="G15" s="48" t="str">
        <f t="shared" si="0"/>
        <v/>
      </c>
      <c r="H15" s="20"/>
    </row>
    <row r="16" spans="1:8" x14ac:dyDescent="0.25">
      <c r="A16" s="25">
        <f>Specifikace!B16</f>
        <v>16</v>
      </c>
      <c r="B16" s="26" t="str">
        <f>Specifikace!E16</f>
        <v/>
      </c>
      <c r="C16" s="27" t="str">
        <f>Specifikace!C16</f>
        <v>Maximální provozní teplota média (TSmax)</v>
      </c>
      <c r="D16" s="28">
        <f>Specifikace!D16</f>
        <v>0</v>
      </c>
      <c r="E16" s="24"/>
      <c r="F16" s="20"/>
      <c r="G16" s="48" t="str">
        <f t="shared" si="0"/>
        <v/>
      </c>
      <c r="H16" s="20"/>
    </row>
    <row r="17" spans="1:8" x14ac:dyDescent="0.25">
      <c r="A17" s="25">
        <f>Specifikace!B17</f>
        <v>17</v>
      </c>
      <c r="B17" s="26" t="str">
        <f>Specifikace!E17</f>
        <v/>
      </c>
      <c r="C17" s="27" t="str">
        <f>Specifikace!C17</f>
        <v>Maximální dovolený tlak (PSmax)</v>
      </c>
      <c r="D17" s="28">
        <f>Specifikace!D17</f>
        <v>0</v>
      </c>
      <c r="E17" s="24"/>
      <c r="F17" s="20"/>
      <c r="G17" s="48" t="str">
        <f t="shared" si="0"/>
        <v/>
      </c>
      <c r="H17" s="20"/>
    </row>
    <row r="18" spans="1:8" x14ac:dyDescent="0.25">
      <c r="A18" s="25">
        <f>Specifikace!B18</f>
        <v>18</v>
      </c>
      <c r="B18" s="26" t="str">
        <f>Specifikace!E18</f>
        <v/>
      </c>
      <c r="C18" s="27" t="str">
        <f>Specifikace!C18</f>
        <v>Napájení</v>
      </c>
      <c r="D18" s="28">
        <f>Specifikace!D18</f>
        <v>0</v>
      </c>
      <c r="E18" s="24"/>
      <c r="F18" s="20"/>
      <c r="G18" s="48" t="str">
        <f t="shared" si="0"/>
        <v/>
      </c>
      <c r="H18" s="20"/>
    </row>
    <row r="19" spans="1:8" x14ac:dyDescent="0.25">
      <c r="A19" s="25">
        <f>Specifikace!B19</f>
        <v>19</v>
      </c>
      <c r="B19" s="26" t="str">
        <f>Specifikace!E19</f>
        <v/>
      </c>
      <c r="C19" s="27" t="str">
        <f>Specifikace!C19</f>
        <v>Krytí skříňky elektroniky</v>
      </c>
      <c r="D19" s="28" t="str">
        <f>Specifikace!D19</f>
        <v/>
      </c>
      <c r="E19" s="24"/>
      <c r="F19" s="20"/>
      <c r="G19" s="48" t="str">
        <f t="shared" si="0"/>
        <v/>
      </c>
      <c r="H19" s="20"/>
    </row>
    <row r="20" spans="1:8" x14ac:dyDescent="0.25">
      <c r="A20" s="25">
        <f>Specifikace!B20</f>
        <v>20</v>
      </c>
      <c r="B20" s="26" t="str">
        <f>Specifikace!E20</f>
        <v/>
      </c>
      <c r="C20" s="27" t="str">
        <f>Specifikace!C20</f>
        <v>Druh tekutiny dle PED 2014/68/EU</v>
      </c>
      <c r="D20" s="28">
        <f>Specifikace!D20</f>
        <v>0</v>
      </c>
      <c r="E20" s="24"/>
      <c r="F20" s="20"/>
      <c r="G20" s="48" t="str">
        <f t="shared" si="0"/>
        <v/>
      </c>
      <c r="H20" s="20"/>
    </row>
    <row r="21" spans="1:8" x14ac:dyDescent="0.25">
      <c r="A21" s="25">
        <f>Specifikace!B21</f>
        <v>21</v>
      </c>
      <c r="B21" s="26" t="str">
        <f>Specifikace!E21</f>
        <v/>
      </c>
      <c r="C21" s="27" t="str">
        <f>Specifikace!C21</f>
        <v>Kategorie dle PED 2014/68/EU</v>
      </c>
      <c r="D21" s="28">
        <f>Specifikace!D21</f>
        <v>0</v>
      </c>
      <c r="E21" s="24"/>
      <c r="F21" s="20"/>
      <c r="G21" s="48" t="str">
        <f t="shared" si="0"/>
        <v/>
      </c>
      <c r="H21" s="20"/>
    </row>
    <row r="22" spans="1:8" x14ac:dyDescent="0.25">
      <c r="A22" s="25">
        <f>Specifikace!B22</f>
        <v>22</v>
      </c>
      <c r="B22" s="26" t="str">
        <f>Specifikace!E22</f>
        <v/>
      </c>
      <c r="C22" s="27" t="str">
        <f>Specifikace!C22</f>
        <v>Měřená tekutina</v>
      </c>
      <c r="D22" s="28">
        <f>Specifikace!D22</f>
        <v>0</v>
      </c>
      <c r="E22" s="24"/>
      <c r="F22" s="20"/>
      <c r="G22" s="48" t="str">
        <f t="shared" si="0"/>
        <v/>
      </c>
      <c r="H22" s="20"/>
    </row>
    <row r="23" spans="1:8" x14ac:dyDescent="0.25">
      <c r="A23" s="25">
        <f>Specifikace!B23</f>
        <v>23</v>
      </c>
      <c r="B23" s="26" t="str">
        <f>Specifikace!E23</f>
        <v/>
      </c>
      <c r="C23" s="27" t="str">
        <f>Specifikace!C23</f>
        <v>Popis měřené tekutiny</v>
      </c>
      <c r="D23" s="28">
        <f>Specifikace!D23</f>
        <v>0</v>
      </c>
      <c r="E23" s="24"/>
      <c r="F23" s="20"/>
      <c r="G23" s="48" t="str">
        <f t="shared" si="0"/>
        <v/>
      </c>
      <c r="H23" s="20"/>
    </row>
    <row r="24" spans="1:8" x14ac:dyDescent="0.25">
      <c r="A24" s="25">
        <f>Specifikace!B24</f>
        <v>24</v>
      </c>
      <c r="B24" s="26" t="str">
        <f>Specifikace!E24</f>
        <v/>
      </c>
      <c r="C24" s="27" t="str">
        <f>Specifikace!C24</f>
        <v>Zemnicí kroužky</v>
      </c>
      <c r="D24" s="28">
        <f>Specifikace!D24</f>
        <v>0</v>
      </c>
      <c r="E24" s="24"/>
      <c r="F24" s="20"/>
      <c r="G24" s="48" t="str">
        <f t="shared" si="0"/>
        <v/>
      </c>
      <c r="H24" s="20"/>
    </row>
    <row r="25" spans="1:8" x14ac:dyDescent="0.25">
      <c r="A25" s="25">
        <f>Specifikace!B25</f>
        <v>25</v>
      </c>
      <c r="B25" s="26" t="str">
        <f>Specifikace!E25</f>
        <v/>
      </c>
      <c r="C25" s="27" t="str">
        <f>Specifikace!C25</f>
        <v>Délka kabelů</v>
      </c>
      <c r="D25" s="28">
        <f>Specifikace!D25</f>
        <v>0</v>
      </c>
      <c r="E25" s="24"/>
      <c r="F25" s="20"/>
      <c r="G25" s="48" t="str">
        <f t="shared" si="0"/>
        <v/>
      </c>
      <c r="H25" s="20"/>
    </row>
    <row r="26" spans="1:8" x14ac:dyDescent="0.25">
      <c r="A26" s="25" t="str">
        <f>Specifikace!B26</f>
        <v xml:space="preserve"> - </v>
      </c>
      <c r="B26" s="26" t="str">
        <f>Specifikace!E26</f>
        <v>-</v>
      </c>
      <c r="C26" s="27" t="str">
        <f>Specifikace!C26</f>
        <v>NASTAVENÍ PRŮTOKOMĚRU</v>
      </c>
      <c r="D26" s="28" t="str">
        <f>Specifikace!D26</f>
        <v xml:space="preserve"> - </v>
      </c>
      <c r="E26" s="24"/>
      <c r="F26" s="20"/>
      <c r="G26" s="48" t="str">
        <f t="shared" si="0"/>
        <v/>
      </c>
      <c r="H26" s="20"/>
    </row>
    <row r="27" spans="1:8" x14ac:dyDescent="0.25">
      <c r="A27" s="25">
        <f>Specifikace!B27</f>
        <v>27</v>
      </c>
      <c r="B27" s="26" t="str">
        <f>Specifikace!E27</f>
        <v/>
      </c>
      <c r="C27" s="27" t="str">
        <f>Specifikace!C27</f>
        <v>Impulzní číslo</v>
      </c>
      <c r="D27" s="28">
        <f>Specifikace!D27</f>
        <v>0</v>
      </c>
      <c r="E27" s="24"/>
      <c r="F27" s="20"/>
      <c r="G27" s="48" t="str">
        <f t="shared" si="0"/>
        <v/>
      </c>
      <c r="H27" s="20"/>
    </row>
    <row r="28" spans="1:8" x14ac:dyDescent="0.25">
      <c r="A28" s="25">
        <f>Specifikace!B28</f>
        <v>28</v>
      </c>
      <c r="B28" s="26" t="str">
        <f>Specifikace!E28</f>
        <v/>
      </c>
      <c r="C28" s="27" t="str">
        <f>Specifikace!C28</f>
        <v>Jednotky impulzního čísla</v>
      </c>
      <c r="D28" s="28">
        <f>Specifikace!D28</f>
        <v>0</v>
      </c>
      <c r="E28" s="24"/>
      <c r="F28" s="20"/>
      <c r="G28" s="48" t="str">
        <f t="shared" si="0"/>
        <v/>
      </c>
      <c r="H28" s="20"/>
    </row>
    <row r="29" spans="1:8" x14ac:dyDescent="0.25">
      <c r="A29" s="25">
        <f>Specifikace!B29</f>
        <v>29</v>
      </c>
      <c r="B29" s="26" t="str">
        <f>Specifikace!E29</f>
        <v/>
      </c>
      <c r="C29" s="27" t="str">
        <f>Specifikace!C29</f>
        <v xml:space="preserve">Jednotky objemu </v>
      </c>
      <c r="D29" s="28">
        <f>Specifikace!D29</f>
        <v>0</v>
      </c>
      <c r="E29" s="24"/>
      <c r="F29" s="20"/>
      <c r="G29" s="48" t="str">
        <f t="shared" si="0"/>
        <v/>
      </c>
      <c r="H29" s="20"/>
    </row>
    <row r="30" spans="1:8" x14ac:dyDescent="0.25">
      <c r="A30" s="25">
        <f>Specifikace!B30</f>
        <v>30</v>
      </c>
      <c r="B30" s="26" t="str">
        <f>Specifikace!E30</f>
        <v/>
      </c>
      <c r="C30" s="27" t="str">
        <f>Specifikace!C30</f>
        <v xml:space="preserve">Jednotky průtoku </v>
      </c>
      <c r="D30" s="28">
        <f>Specifikace!D30</f>
        <v>0</v>
      </c>
      <c r="E30" s="24"/>
      <c r="F30" s="20"/>
      <c r="G30" s="48" t="str">
        <f t="shared" si="0"/>
        <v/>
      </c>
      <c r="H30" s="20"/>
    </row>
    <row r="31" spans="1:8" x14ac:dyDescent="0.25">
      <c r="A31" s="25">
        <f>Specifikace!B31</f>
        <v>31</v>
      </c>
      <c r="B31" s="26" t="str">
        <f>Specifikace!E31</f>
        <v/>
      </c>
      <c r="C31" s="27" t="str">
        <f>Specifikace!C31</f>
        <v>Počet vzorků pro průměrování</v>
      </c>
      <c r="D31" s="28">
        <f>Specifikace!D31</f>
        <v>0</v>
      </c>
      <c r="E31" s="24"/>
      <c r="F31" s="20"/>
      <c r="G31" s="48" t="str">
        <f t="shared" si="0"/>
        <v/>
      </c>
      <c r="H31" s="20"/>
    </row>
    <row r="32" spans="1:8" x14ac:dyDescent="0.25">
      <c r="A32" s="25">
        <f>Specifikace!B32</f>
        <v>32</v>
      </c>
      <c r="B32" s="26" t="str">
        <f>Specifikace!E32</f>
        <v/>
      </c>
      <c r="C32" s="27" t="str">
        <f>Specifikace!C32</f>
        <v>Necitlivost měření</v>
      </c>
      <c r="D32" s="28">
        <f>Specifikace!D32</f>
        <v>0</v>
      </c>
      <c r="E32" s="24"/>
      <c r="F32" s="20"/>
      <c r="G32" s="48" t="str">
        <f t="shared" si="0"/>
        <v/>
      </c>
      <c r="H32" s="20"/>
    </row>
    <row r="33" spans="1:8" x14ac:dyDescent="0.25">
      <c r="A33" s="25">
        <f>Specifikace!B33</f>
        <v>33</v>
      </c>
      <c r="B33" s="26" t="str">
        <f>Specifikace!E33</f>
        <v/>
      </c>
      <c r="C33" s="27" t="str">
        <f>Specifikace!C33</f>
        <v>Průtok 100% (l/s)</v>
      </c>
      <c r="D33" s="28">
        <f>Specifikace!D33</f>
        <v>0</v>
      </c>
      <c r="E33" s="24"/>
      <c r="F33" s="20"/>
      <c r="G33" s="48" t="str">
        <f t="shared" si="0"/>
        <v/>
      </c>
      <c r="H33" s="20"/>
    </row>
    <row r="34" spans="1:8" x14ac:dyDescent="0.25">
      <c r="A34" s="25">
        <f>Specifikace!B34</f>
        <v>34</v>
      </c>
      <c r="B34" s="26" t="str">
        <f>Specifikace!E34</f>
        <v/>
      </c>
      <c r="C34" s="27" t="str">
        <f>Specifikace!C34</f>
        <v>Výstup OUT</v>
      </c>
      <c r="D34" s="28">
        <f>Specifikace!D34</f>
        <v>0</v>
      </c>
      <c r="E34" s="24"/>
      <c r="F34" s="20"/>
      <c r="G34" s="48" t="str">
        <f t="shared" si="0"/>
        <v/>
      </c>
      <c r="H34" s="20"/>
    </row>
    <row r="35" spans="1:8" x14ac:dyDescent="0.25">
      <c r="A35" s="25" t="str">
        <f>Specifikace!B35</f>
        <v xml:space="preserve"> - </v>
      </c>
      <c r="B35" s="26" t="str">
        <f>Specifikace!E35</f>
        <v>-</v>
      </c>
      <c r="C35" s="27" t="str">
        <f>Specifikace!C35</f>
        <v>NASTAVENÍ KOMUNIKACE</v>
      </c>
      <c r="D35" s="28">
        <f>Specifikace!D35</f>
        <v>0</v>
      </c>
      <c r="E35" s="24"/>
      <c r="F35" s="20"/>
      <c r="G35" s="48" t="str">
        <f t="shared" si="0"/>
        <v/>
      </c>
      <c r="H35" s="20"/>
    </row>
    <row r="36" spans="1:8" x14ac:dyDescent="0.25">
      <c r="A36" s="25">
        <f>Specifikace!B37</f>
        <v>37</v>
      </c>
      <c r="B36" s="26" t="str">
        <f>Specifikace!E37</f>
        <v/>
      </c>
      <c r="C36" s="27" t="str">
        <f>Specifikace!C37</f>
        <v>Adresa - zapište z rozsahu 1 až 247</v>
      </c>
      <c r="D36" s="28">
        <f>Specifikace!D37</f>
        <v>0</v>
      </c>
      <c r="E36" s="24"/>
      <c r="F36" s="20"/>
      <c r="G36" s="48" t="str">
        <f t="shared" si="0"/>
        <v/>
      </c>
      <c r="H36" s="20"/>
    </row>
    <row r="37" spans="1:8" x14ac:dyDescent="0.25">
      <c r="A37" s="25">
        <f>Specifikace!B38</f>
        <v>38</v>
      </c>
      <c r="B37" s="26" t="str">
        <f>Specifikace!E38</f>
        <v/>
      </c>
      <c r="C37" s="27" t="str">
        <f>Specifikace!C38</f>
        <v>Rychlost přenosu</v>
      </c>
      <c r="D37" s="28">
        <f>Specifikace!D38</f>
        <v>0</v>
      </c>
      <c r="E37" s="24"/>
      <c r="F37" s="20"/>
      <c r="G37" s="48" t="str">
        <f t="shared" si="0"/>
        <v/>
      </c>
      <c r="H37" s="20"/>
    </row>
    <row r="38" spans="1:8" x14ac:dyDescent="0.25">
      <c r="A38" s="25">
        <f>Specifikace!B39</f>
        <v>39</v>
      </c>
      <c r="B38" s="26" t="str">
        <f>Specifikace!E39</f>
        <v/>
      </c>
      <c r="C38" s="27" t="str">
        <f>Specifikace!C39</f>
        <v>FLOSET 4.0 včetně příslušenství</v>
      </c>
      <c r="D38" s="28">
        <f>Specifikace!D39</f>
        <v>0</v>
      </c>
      <c r="E38" s="24"/>
      <c r="F38" s="20"/>
      <c r="G38" s="48" t="str">
        <f t="shared" si="0"/>
        <v/>
      </c>
      <c r="H38" s="20"/>
    </row>
    <row r="39" spans="1:8" x14ac:dyDescent="0.25">
      <c r="A39" s="25" t="str">
        <f>Specifikace!B40</f>
        <v xml:space="preserve"> - </v>
      </c>
      <c r="B39" s="26" t="str">
        <f>Specifikace!E40</f>
        <v>-</v>
      </c>
      <c r="C39" s="27" t="str">
        <f>Specifikace!C40</f>
        <v>KALIBRACE</v>
      </c>
      <c r="D39" s="28" t="str">
        <f>Specifikace!D40</f>
        <v xml:space="preserve"> - </v>
      </c>
      <c r="E39" s="24"/>
      <c r="F39" s="20"/>
      <c r="G39" s="48" t="str">
        <f t="shared" si="0"/>
        <v/>
      </c>
      <c r="H39" s="20"/>
    </row>
    <row r="40" spans="1:8" x14ac:dyDescent="0.25">
      <c r="A40" s="25">
        <f>Specifikace!B41</f>
        <v>41</v>
      </c>
      <c r="B40" s="26" t="str">
        <f>Specifikace!E41</f>
        <v/>
      </c>
      <c r="C40" s="27" t="str">
        <f>Specifikace!C41</f>
        <v>Kalibrace</v>
      </c>
      <c r="D40" s="28">
        <f>Specifikace!D41</f>
        <v>0</v>
      </c>
      <c r="E40" s="24"/>
      <c r="F40" s="20"/>
      <c r="G40" s="48" t="str">
        <f t="shared" si="0"/>
        <v/>
      </c>
      <c r="H40" s="20"/>
    </row>
    <row r="41" spans="1:8" x14ac:dyDescent="0.25">
      <c r="A41" s="25" t="str">
        <f>Specifikace!B42</f>
        <v xml:space="preserve"> - </v>
      </c>
      <c r="B41" s="26" t="str">
        <f>Specifikace!E42</f>
        <v>-</v>
      </c>
      <c r="C41" s="27" t="str">
        <f>Specifikace!C42</f>
        <v>DALŠÍ OBCHODNÍ POŽADAVKY</v>
      </c>
      <c r="D41" s="28" t="str">
        <f>Specifikace!D42</f>
        <v xml:space="preserve"> - </v>
      </c>
      <c r="E41" s="24"/>
      <c r="F41" s="20"/>
      <c r="G41" s="48" t="str">
        <f t="shared" si="0"/>
        <v/>
      </c>
      <c r="H41" s="20"/>
    </row>
    <row r="42" spans="1:8" x14ac:dyDescent="0.25">
      <c r="A42" s="25">
        <f>Specifikace!B43</f>
        <v>43</v>
      </c>
      <c r="B42" s="26" t="str">
        <f>Specifikace!E43</f>
        <v/>
      </c>
      <c r="C42" s="27" t="str">
        <f>Specifikace!C43</f>
        <v>Počet kusů</v>
      </c>
      <c r="D42" s="28">
        <f>Specifikace!D43</f>
        <v>0</v>
      </c>
      <c r="E42" s="24"/>
      <c r="F42" s="20"/>
      <c r="G42" s="48" t="str">
        <f t="shared" si="0"/>
        <v/>
      </c>
      <c r="H42" s="20"/>
    </row>
    <row r="43" spans="1:8" x14ac:dyDescent="0.25">
      <c r="A43" s="25">
        <f>Specifikace!B44</f>
        <v>44</v>
      </c>
      <c r="B43" s="26" t="str">
        <f>Specifikace!E44</f>
        <v/>
      </c>
      <c r="C43" s="27" t="str">
        <f>Specifikace!C44</f>
        <v>Balení</v>
      </c>
      <c r="D43" s="28">
        <f>Specifikace!D44</f>
        <v>0</v>
      </c>
      <c r="E43" s="24"/>
      <c r="F43" s="20"/>
      <c r="G43" s="48" t="str">
        <f t="shared" si="0"/>
        <v/>
      </c>
      <c r="H43" s="20"/>
    </row>
    <row r="44" spans="1:8" x14ac:dyDescent="0.25">
      <c r="A44" s="25">
        <f>Specifikace!B45</f>
        <v>45</v>
      </c>
      <c r="B44" s="26" t="str">
        <f>Specifikace!E45</f>
        <v/>
      </c>
      <c r="C44" s="27" t="str">
        <f>Specifikace!C45</f>
        <v>Způsob předání</v>
      </c>
      <c r="D44" s="28">
        <f>Specifikace!D45</f>
        <v>0</v>
      </c>
      <c r="E44" s="24"/>
      <c r="F44" s="20"/>
      <c r="G44" s="48" t="str">
        <f t="shared" si="0"/>
        <v/>
      </c>
      <c r="H44" s="20"/>
    </row>
    <row r="45" spans="1:8" x14ac:dyDescent="0.25">
      <c r="A45" s="25">
        <f>Specifikace!B46</f>
        <v>46</v>
      </c>
      <c r="B45" s="26" t="str">
        <f>Specifikace!E46</f>
        <v/>
      </c>
      <c r="C45" s="27" t="str">
        <f>Specifikace!C46</f>
        <v>Záruka</v>
      </c>
      <c r="D45" s="28">
        <f>Specifikace!D46</f>
        <v>0</v>
      </c>
      <c r="E45" s="24"/>
      <c r="F45" s="20"/>
      <c r="G45" s="48" t="str">
        <f t="shared" si="0"/>
        <v/>
      </c>
      <c r="H45" s="20"/>
    </row>
    <row r="46" spans="1:8" x14ac:dyDescent="0.25">
      <c r="A46" s="25" t="str">
        <f>Specifikace!B47</f>
        <v xml:space="preserve"> - </v>
      </c>
      <c r="B46" s="26" t="str">
        <f>Specifikace!E47</f>
        <v>-</v>
      </c>
      <c r="C46" s="27" t="str">
        <f>Specifikace!C47</f>
        <v>SOUVISÍCÍ PŘEDPISY</v>
      </c>
      <c r="D46" s="28" t="str">
        <f>Specifikace!D47</f>
        <v xml:space="preserve"> - </v>
      </c>
      <c r="E46" s="24"/>
      <c r="F46" s="20"/>
      <c r="G46" s="48" t="str">
        <f t="shared" si="0"/>
        <v/>
      </c>
      <c r="H46" s="20"/>
    </row>
    <row r="47" spans="1:8" x14ac:dyDescent="0.25">
      <c r="A47" s="25">
        <f>Specifikace!B48</f>
        <v>48</v>
      </c>
      <c r="B47" s="26" t="str">
        <f>Specifikace!E48</f>
        <v/>
      </c>
      <c r="C47" s="27" t="str">
        <f>Specifikace!C48</f>
        <v>Evidenční číslo manuálu průtokoměru</v>
      </c>
      <c r="D47" s="28" t="str">
        <f>Specifikace!D48</f>
        <v/>
      </c>
      <c r="E47" s="24"/>
      <c r="F47" s="20"/>
      <c r="G47" s="48" t="str">
        <f t="shared" si="0"/>
        <v/>
      </c>
      <c r="H47" s="20"/>
    </row>
  </sheetData>
  <sheetProtection password="CC59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3"/>
  <sheetViews>
    <sheetView showGridLines="0" zoomScale="96" zoomScaleNormal="96" workbookViewId="0">
      <selection activeCell="I22" sqref="I22"/>
    </sheetView>
  </sheetViews>
  <sheetFormatPr defaultRowHeight="15" x14ac:dyDescent="0.25"/>
  <cols>
    <col min="1" max="1" width="0.7109375" customWidth="1"/>
    <col min="2" max="2" width="15.42578125" customWidth="1"/>
    <col min="3" max="3" width="11.28515625" customWidth="1"/>
    <col min="4" max="5" width="19.7109375" customWidth="1"/>
    <col min="6" max="6" width="20.28515625" customWidth="1"/>
    <col min="7" max="7" width="19.7109375" customWidth="1"/>
    <col min="8" max="8" width="4.42578125" customWidth="1"/>
    <col min="9" max="9" width="15.42578125" customWidth="1"/>
    <col min="10" max="10" width="11.28515625" customWidth="1"/>
    <col min="11" max="14" width="19.7109375" customWidth="1"/>
  </cols>
  <sheetData>
    <row r="1" spans="2:14" ht="23.25" x14ac:dyDescent="0.35">
      <c r="B1" s="70" t="s">
        <v>232</v>
      </c>
    </row>
    <row r="2" spans="2:14" x14ac:dyDescent="0.25">
      <c r="B2" t="s">
        <v>233</v>
      </c>
    </row>
    <row r="3" spans="2:14" x14ac:dyDescent="0.25">
      <c r="B3" s="66"/>
    </row>
    <row r="4" spans="2:14" ht="16.5" thickBot="1" x14ac:dyDescent="0.3">
      <c r="B4" s="71" t="s">
        <v>234</v>
      </c>
      <c r="I4" s="71" t="s">
        <v>268</v>
      </c>
    </row>
    <row r="5" spans="2:14" ht="15" customHeight="1" x14ac:dyDescent="0.25">
      <c r="B5" s="153"/>
      <c r="C5" s="153"/>
      <c r="D5" s="276" t="s">
        <v>247</v>
      </c>
      <c r="E5" s="277"/>
      <c r="F5" s="277"/>
      <c r="G5" s="278"/>
      <c r="I5" s="153"/>
      <c r="J5" s="153"/>
      <c r="K5" s="276" t="s">
        <v>247</v>
      </c>
      <c r="L5" s="277"/>
      <c r="M5" s="277"/>
      <c r="N5" s="278"/>
    </row>
    <row r="6" spans="2:14" ht="15.75" customHeight="1" thickBot="1" x14ac:dyDescent="0.3">
      <c r="B6" s="154" t="s">
        <v>239</v>
      </c>
      <c r="C6" s="154" t="s">
        <v>241</v>
      </c>
      <c r="D6" s="279" t="s">
        <v>246</v>
      </c>
      <c r="E6" s="280"/>
      <c r="F6" s="280"/>
      <c r="G6" s="281"/>
      <c r="I6" s="154" t="s">
        <v>239</v>
      </c>
      <c r="J6" s="154" t="s">
        <v>241</v>
      </c>
      <c r="K6" s="279" t="s">
        <v>246</v>
      </c>
      <c r="L6" s="280"/>
      <c r="M6" s="280"/>
      <c r="N6" s="281"/>
    </row>
    <row r="7" spans="2:14" ht="18" x14ac:dyDescent="0.25">
      <c r="B7" s="155" t="s">
        <v>240</v>
      </c>
      <c r="C7" s="155" t="s">
        <v>242</v>
      </c>
      <c r="D7" s="156" t="s">
        <v>222</v>
      </c>
      <c r="E7" s="157" t="s">
        <v>223</v>
      </c>
      <c r="F7" s="158" t="s">
        <v>224</v>
      </c>
      <c r="G7" s="158" t="s">
        <v>225</v>
      </c>
      <c r="I7" s="155" t="s">
        <v>240</v>
      </c>
      <c r="J7" s="155" t="s">
        <v>242</v>
      </c>
      <c r="K7" s="156" t="s">
        <v>222</v>
      </c>
      <c r="L7" s="157" t="s">
        <v>223</v>
      </c>
      <c r="M7" s="158" t="s">
        <v>224</v>
      </c>
      <c r="N7" s="158" t="s">
        <v>225</v>
      </c>
    </row>
    <row r="8" spans="2:14" ht="15.75" thickBot="1" x14ac:dyDescent="0.3">
      <c r="B8" s="159"/>
      <c r="C8" s="159"/>
      <c r="D8" s="160" t="s">
        <v>237</v>
      </c>
      <c r="E8" s="161" t="s">
        <v>267</v>
      </c>
      <c r="F8" s="162" t="s">
        <v>238</v>
      </c>
      <c r="G8" s="163" t="s">
        <v>226</v>
      </c>
      <c r="I8" s="159"/>
      <c r="J8" s="159"/>
      <c r="K8" s="160" t="s">
        <v>237</v>
      </c>
      <c r="L8" s="161" t="s">
        <v>267</v>
      </c>
      <c r="M8" s="163" t="s">
        <v>238</v>
      </c>
      <c r="N8" s="163" t="s">
        <v>226</v>
      </c>
    </row>
    <row r="9" spans="2:14" ht="15.75" x14ac:dyDescent="0.25">
      <c r="B9" s="164" t="s">
        <v>270</v>
      </c>
      <c r="C9" s="165" t="s">
        <v>227</v>
      </c>
      <c r="D9" s="85">
        <v>38.299999999999997</v>
      </c>
      <c r="E9" s="85">
        <v>36.700000000000003</v>
      </c>
      <c r="F9" s="151" t="s">
        <v>70</v>
      </c>
      <c r="G9" s="86">
        <v>35.200000000000003</v>
      </c>
      <c r="I9" s="164" t="s">
        <v>270</v>
      </c>
      <c r="J9" s="164" t="s">
        <v>227</v>
      </c>
      <c r="K9" s="150">
        <v>37.799999999999997</v>
      </c>
      <c r="L9" s="150">
        <v>35.6</v>
      </c>
      <c r="M9" s="151" t="s">
        <v>70</v>
      </c>
      <c r="N9" s="152">
        <v>32.700000000000003</v>
      </c>
    </row>
    <row r="10" spans="2:14" ht="15.75" x14ac:dyDescent="0.25">
      <c r="B10" s="166" t="s">
        <v>271</v>
      </c>
      <c r="C10" s="167" t="s">
        <v>228</v>
      </c>
      <c r="D10" s="87">
        <v>15.3</v>
      </c>
      <c r="E10" s="87">
        <v>14.6</v>
      </c>
      <c r="F10" s="88" t="s">
        <v>70</v>
      </c>
      <c r="G10" s="89">
        <v>14</v>
      </c>
      <c r="I10" s="166" t="s">
        <v>271</v>
      </c>
      <c r="J10" s="166" t="s">
        <v>228</v>
      </c>
      <c r="K10" s="90">
        <v>15.1</v>
      </c>
      <c r="L10" s="90">
        <v>14.2</v>
      </c>
      <c r="M10" s="88" t="s">
        <v>70</v>
      </c>
      <c r="N10" s="91">
        <v>13.1</v>
      </c>
    </row>
    <row r="11" spans="2:14" ht="15.75" x14ac:dyDescent="0.25">
      <c r="B11" s="166" t="s">
        <v>272</v>
      </c>
      <c r="C11" s="167" t="s">
        <v>229</v>
      </c>
      <c r="D11" s="87">
        <v>9.5</v>
      </c>
      <c r="E11" s="87">
        <v>9.1</v>
      </c>
      <c r="F11" s="89">
        <v>9</v>
      </c>
      <c r="G11" s="89">
        <v>8.8000000000000007</v>
      </c>
      <c r="I11" s="166" t="s">
        <v>272</v>
      </c>
      <c r="J11" s="166" t="s">
        <v>229</v>
      </c>
      <c r="K11" s="90">
        <v>9.4</v>
      </c>
      <c r="L11" s="90">
        <v>8.8000000000000007</v>
      </c>
      <c r="M11" s="91">
        <v>8.6</v>
      </c>
      <c r="N11" s="91">
        <v>8.1</v>
      </c>
    </row>
    <row r="12" spans="2:14" ht="16.5" thickBot="1" x14ac:dyDescent="0.3">
      <c r="B12" s="168" t="s">
        <v>381</v>
      </c>
      <c r="C12" s="169" t="s">
        <v>230</v>
      </c>
      <c r="D12" s="73">
        <v>5.5</v>
      </c>
      <c r="E12" s="73">
        <v>5.4</v>
      </c>
      <c r="F12" s="73">
        <v>5.4</v>
      </c>
      <c r="G12" s="74">
        <v>5.2</v>
      </c>
      <c r="I12" s="168" t="s">
        <v>381</v>
      </c>
      <c r="J12" s="168" t="s">
        <v>230</v>
      </c>
      <c r="K12" s="82">
        <v>5.6</v>
      </c>
      <c r="L12" s="82">
        <v>5.3</v>
      </c>
      <c r="M12" s="83">
        <v>5.2</v>
      </c>
      <c r="N12" s="83">
        <v>4.9000000000000004</v>
      </c>
    </row>
    <row r="13" spans="2:14" x14ac:dyDescent="0.25">
      <c r="B13" s="68"/>
    </row>
    <row r="14" spans="2:14" ht="16.5" customHeight="1" thickBot="1" x14ac:dyDescent="0.3">
      <c r="B14" s="71" t="s">
        <v>235</v>
      </c>
      <c r="I14" s="71" t="s">
        <v>269</v>
      </c>
    </row>
    <row r="15" spans="2:14" ht="15" customHeight="1" x14ac:dyDescent="0.25">
      <c r="B15" s="153"/>
      <c r="C15" s="153"/>
      <c r="D15" s="276" t="s">
        <v>248</v>
      </c>
      <c r="E15" s="277"/>
      <c r="F15" s="277"/>
      <c r="G15" s="278"/>
      <c r="I15" s="153"/>
      <c r="J15" s="153"/>
      <c r="K15" s="276" t="s">
        <v>248</v>
      </c>
      <c r="L15" s="277"/>
      <c r="M15" s="277"/>
      <c r="N15" s="278"/>
    </row>
    <row r="16" spans="2:14" ht="15.75" thickBot="1" x14ac:dyDescent="0.3">
      <c r="B16" s="154" t="s">
        <v>239</v>
      </c>
      <c r="C16" s="154" t="s">
        <v>241</v>
      </c>
      <c r="D16" s="279" t="s">
        <v>246</v>
      </c>
      <c r="E16" s="280"/>
      <c r="F16" s="280"/>
      <c r="G16" s="281"/>
      <c r="I16" s="154" t="s">
        <v>239</v>
      </c>
      <c r="J16" s="154" t="s">
        <v>241</v>
      </c>
      <c r="K16" s="279" t="s">
        <v>246</v>
      </c>
      <c r="L16" s="280"/>
      <c r="M16" s="280"/>
      <c r="N16" s="281"/>
    </row>
    <row r="17" spans="2:14" ht="18" x14ac:dyDescent="0.25">
      <c r="B17" s="155" t="s">
        <v>240</v>
      </c>
      <c r="C17" s="155" t="s">
        <v>242</v>
      </c>
      <c r="D17" s="156" t="s">
        <v>222</v>
      </c>
      <c r="E17" s="157" t="s">
        <v>223</v>
      </c>
      <c r="F17" s="158" t="s">
        <v>224</v>
      </c>
      <c r="G17" s="158" t="s">
        <v>225</v>
      </c>
      <c r="I17" s="155" t="s">
        <v>240</v>
      </c>
      <c r="J17" s="155" t="s">
        <v>242</v>
      </c>
      <c r="K17" s="156" t="s">
        <v>222</v>
      </c>
      <c r="L17" s="157" t="s">
        <v>223</v>
      </c>
      <c r="M17" s="158" t="s">
        <v>224</v>
      </c>
      <c r="N17" s="158" t="s">
        <v>225</v>
      </c>
    </row>
    <row r="18" spans="2:14" ht="15.75" thickBot="1" x14ac:dyDescent="0.3">
      <c r="B18" s="159"/>
      <c r="C18" s="159"/>
      <c r="D18" s="160" t="s">
        <v>237</v>
      </c>
      <c r="E18" s="161" t="s">
        <v>267</v>
      </c>
      <c r="F18" s="163" t="s">
        <v>238</v>
      </c>
      <c r="G18" s="163" t="s">
        <v>226</v>
      </c>
      <c r="I18" s="159"/>
      <c r="J18" s="159"/>
      <c r="K18" s="160" t="s">
        <v>237</v>
      </c>
      <c r="L18" s="161" t="s">
        <v>267</v>
      </c>
      <c r="M18" s="163" t="s">
        <v>238</v>
      </c>
      <c r="N18" s="163" t="s">
        <v>226</v>
      </c>
    </row>
    <row r="19" spans="2:14" ht="16.5" thickBot="1" x14ac:dyDescent="0.3">
      <c r="B19" s="168" t="s">
        <v>273</v>
      </c>
      <c r="C19" s="169" t="s">
        <v>231</v>
      </c>
      <c r="D19" s="73">
        <v>15.9</v>
      </c>
      <c r="E19" s="73">
        <v>15.9</v>
      </c>
      <c r="F19" s="74">
        <v>15.9</v>
      </c>
      <c r="G19" s="74">
        <v>15.8</v>
      </c>
      <c r="I19" s="168" t="s">
        <v>273</v>
      </c>
      <c r="J19" s="168" t="s">
        <v>231</v>
      </c>
      <c r="K19" s="73">
        <v>14.1</v>
      </c>
      <c r="L19" s="73">
        <v>13</v>
      </c>
      <c r="M19" s="83">
        <v>12.8</v>
      </c>
      <c r="N19" s="83">
        <v>12</v>
      </c>
    </row>
    <row r="20" spans="2:14" x14ac:dyDescent="0.25">
      <c r="B20" s="66"/>
    </row>
    <row r="21" spans="2:14" ht="16.5" thickBot="1" x14ac:dyDescent="0.3">
      <c r="B21" s="71" t="s">
        <v>236</v>
      </c>
    </row>
    <row r="22" spans="2:14" ht="15" customHeight="1" x14ac:dyDescent="0.25">
      <c r="B22" s="153"/>
      <c r="C22" s="153"/>
      <c r="D22" s="276" t="s">
        <v>247</v>
      </c>
      <c r="E22" s="277"/>
      <c r="F22" s="278"/>
    </row>
    <row r="23" spans="2:14" ht="15.75" thickBot="1" x14ac:dyDescent="0.3">
      <c r="B23" s="154" t="s">
        <v>239</v>
      </c>
      <c r="C23" s="154" t="s">
        <v>241</v>
      </c>
      <c r="D23" s="279" t="s">
        <v>246</v>
      </c>
      <c r="E23" s="280"/>
      <c r="F23" s="281"/>
    </row>
    <row r="24" spans="2:14" ht="18" x14ac:dyDescent="0.25">
      <c r="B24" s="155" t="s">
        <v>240</v>
      </c>
      <c r="C24" s="155" t="s">
        <v>242</v>
      </c>
      <c r="D24" s="156" t="s">
        <v>222</v>
      </c>
      <c r="E24" s="157" t="s">
        <v>223</v>
      </c>
      <c r="F24" s="158" t="s">
        <v>225</v>
      </c>
    </row>
    <row r="25" spans="2:14" ht="15.75" thickBot="1" x14ac:dyDescent="0.3">
      <c r="B25" s="159"/>
      <c r="C25" s="159"/>
      <c r="D25" s="160" t="s">
        <v>237</v>
      </c>
      <c r="E25" s="163" t="s">
        <v>226</v>
      </c>
      <c r="F25" s="163" t="s">
        <v>226</v>
      </c>
    </row>
    <row r="26" spans="2:14" ht="15.75" x14ac:dyDescent="0.25">
      <c r="B26" s="164" t="s">
        <v>274</v>
      </c>
      <c r="C26" s="165" t="s">
        <v>227</v>
      </c>
      <c r="D26" s="85">
        <v>38.299999999999997</v>
      </c>
      <c r="E26" s="85">
        <v>36.700000000000003</v>
      </c>
      <c r="F26" s="86">
        <v>35.200000000000003</v>
      </c>
    </row>
    <row r="27" spans="2:14" ht="16.5" thickBot="1" x14ac:dyDescent="0.3">
      <c r="B27" s="170" t="s">
        <v>271</v>
      </c>
      <c r="C27" s="171" t="s">
        <v>228</v>
      </c>
      <c r="D27" s="92">
        <v>15.3</v>
      </c>
      <c r="E27" s="92">
        <v>14.6</v>
      </c>
      <c r="F27" s="93">
        <v>14</v>
      </c>
    </row>
    <row r="28" spans="2:14" x14ac:dyDescent="0.25">
      <c r="B28" s="67"/>
    </row>
    <row r="29" spans="2:14" x14ac:dyDescent="0.25">
      <c r="B29" s="69" t="s">
        <v>245</v>
      </c>
      <c r="D29" s="65"/>
    </row>
    <row r="30" spans="2:14" x14ac:dyDescent="0.25">
      <c r="B30" s="72" t="s">
        <v>243</v>
      </c>
      <c r="E30" s="65"/>
      <c r="F30" s="65"/>
    </row>
    <row r="31" spans="2:14" x14ac:dyDescent="0.25">
      <c r="B31" s="72" t="s">
        <v>244</v>
      </c>
    </row>
    <row r="32" spans="2:14" x14ac:dyDescent="0.25">
      <c r="B32" s="72" t="s">
        <v>249</v>
      </c>
    </row>
    <row r="33" spans="2:2" x14ac:dyDescent="0.25">
      <c r="B33" s="72" t="s">
        <v>250</v>
      </c>
    </row>
  </sheetData>
  <sheetProtection algorithmName="SHA-512" hashValue="J8ukl1R0j/K0l3usiKM5lhBvhFIuwLxcsbJr+ZyolkUf16yBLD52IJg4kXEu4GAb81F5s4hahGwIAzXQNzh02A==" saltValue="lY5S92m4UI/kC5KBAtis7Q==" spinCount="100000" sheet="1" objects="1" scenarios="1" selectLockedCells="1"/>
  <mergeCells count="10">
    <mergeCell ref="K5:N5"/>
    <mergeCell ref="K6:N6"/>
    <mergeCell ref="K15:N15"/>
    <mergeCell ref="K16:N16"/>
    <mergeCell ref="D23:F23"/>
    <mergeCell ref="D5:G5"/>
    <mergeCell ref="D6:G6"/>
    <mergeCell ref="D15:G15"/>
    <mergeCell ref="D16:G16"/>
    <mergeCell ref="D22:F2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32"/>
  <sheetViews>
    <sheetView showGridLines="0" topLeftCell="A4" workbookViewId="0">
      <selection activeCell="F21" sqref="F21"/>
    </sheetView>
  </sheetViews>
  <sheetFormatPr defaultRowHeight="15" x14ac:dyDescent="0.25"/>
  <cols>
    <col min="1" max="1" width="1.5703125" customWidth="1"/>
    <col min="2" max="2" width="7.5703125" customWidth="1"/>
    <col min="3" max="3" width="7.28515625" customWidth="1"/>
  </cols>
  <sheetData>
    <row r="1" spans="2:17" ht="23.25" x14ac:dyDescent="0.35">
      <c r="B1" s="70" t="s">
        <v>302</v>
      </c>
    </row>
    <row r="2" spans="2:17" x14ac:dyDescent="0.25">
      <c r="B2" t="s">
        <v>319</v>
      </c>
    </row>
    <row r="3" spans="2:17" ht="15.75" thickBot="1" x14ac:dyDescent="0.3"/>
    <row r="4" spans="2:17" ht="16.5" x14ac:dyDescent="0.35">
      <c r="B4" s="282" t="s">
        <v>316</v>
      </c>
      <c r="C4" s="285" t="s">
        <v>276</v>
      </c>
      <c r="D4" s="288" t="s">
        <v>314</v>
      </c>
      <c r="E4" s="289"/>
      <c r="F4" s="290" t="s">
        <v>315</v>
      </c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2"/>
    </row>
    <row r="5" spans="2:17" ht="18" x14ac:dyDescent="0.35">
      <c r="B5" s="283"/>
      <c r="C5" s="286"/>
      <c r="D5" s="293" t="s">
        <v>308</v>
      </c>
      <c r="E5" s="294"/>
      <c r="F5" s="103" t="s">
        <v>309</v>
      </c>
      <c r="G5" s="104"/>
      <c r="H5" s="105"/>
      <c r="I5" s="121" t="s">
        <v>310</v>
      </c>
      <c r="J5" s="122"/>
      <c r="K5" s="123"/>
      <c r="L5" s="103" t="s">
        <v>312</v>
      </c>
      <c r="M5" s="104"/>
      <c r="N5" s="105"/>
      <c r="O5" s="103" t="s">
        <v>313</v>
      </c>
      <c r="P5" s="104"/>
      <c r="Q5" s="105"/>
    </row>
    <row r="6" spans="2:17" x14ac:dyDescent="0.25">
      <c r="B6" s="283"/>
      <c r="C6" s="286"/>
      <c r="D6" s="295" t="s">
        <v>317</v>
      </c>
      <c r="E6" s="297" t="s">
        <v>311</v>
      </c>
      <c r="F6" s="106" t="s">
        <v>277</v>
      </c>
      <c r="G6" s="107" t="s">
        <v>306</v>
      </c>
      <c r="H6" s="108" t="s">
        <v>278</v>
      </c>
      <c r="I6" s="106" t="s">
        <v>277</v>
      </c>
      <c r="J6" s="107" t="s">
        <v>306</v>
      </c>
      <c r="K6" s="108" t="s">
        <v>278</v>
      </c>
      <c r="L6" s="106" t="s">
        <v>277</v>
      </c>
      <c r="M6" s="107" t="s">
        <v>306</v>
      </c>
      <c r="N6" s="108" t="s">
        <v>278</v>
      </c>
      <c r="O6" s="106" t="s">
        <v>277</v>
      </c>
      <c r="P6" s="107" t="s">
        <v>306</v>
      </c>
      <c r="Q6" s="108" t="s">
        <v>278</v>
      </c>
    </row>
    <row r="7" spans="2:17" x14ac:dyDescent="0.25">
      <c r="B7" s="283"/>
      <c r="C7" s="286"/>
      <c r="D7" s="295"/>
      <c r="E7" s="297"/>
      <c r="F7" s="109" t="s">
        <v>307</v>
      </c>
      <c r="G7" s="110" t="s">
        <v>279</v>
      </c>
      <c r="H7" s="111" t="s">
        <v>307</v>
      </c>
      <c r="I7" s="109" t="s">
        <v>307</v>
      </c>
      <c r="J7" s="110" t="s">
        <v>279</v>
      </c>
      <c r="K7" s="111" t="s">
        <v>307</v>
      </c>
      <c r="L7" s="109" t="s">
        <v>307</v>
      </c>
      <c r="M7" s="110" t="s">
        <v>279</v>
      </c>
      <c r="N7" s="111" t="s">
        <v>307</v>
      </c>
      <c r="O7" s="109" t="s">
        <v>307</v>
      </c>
      <c r="P7" s="110" t="s">
        <v>279</v>
      </c>
      <c r="Q7" s="111" t="s">
        <v>307</v>
      </c>
    </row>
    <row r="8" spans="2:17" ht="18" x14ac:dyDescent="0.35">
      <c r="B8" s="283"/>
      <c r="C8" s="286"/>
      <c r="D8" s="295"/>
      <c r="E8" s="297"/>
      <c r="F8" s="112" t="s">
        <v>280</v>
      </c>
      <c r="G8" s="113" t="s">
        <v>281</v>
      </c>
      <c r="H8" s="114" t="s">
        <v>318</v>
      </c>
      <c r="I8" s="112" t="s">
        <v>280</v>
      </c>
      <c r="J8" s="113" t="s">
        <v>281</v>
      </c>
      <c r="K8" s="114" t="s">
        <v>318</v>
      </c>
      <c r="L8" s="112" t="s">
        <v>280</v>
      </c>
      <c r="M8" s="113" t="s">
        <v>281</v>
      </c>
      <c r="N8" s="114" t="s">
        <v>282</v>
      </c>
      <c r="O8" s="112" t="s">
        <v>280</v>
      </c>
      <c r="P8" s="113" t="s">
        <v>281</v>
      </c>
      <c r="Q8" s="114" t="s">
        <v>318</v>
      </c>
    </row>
    <row r="9" spans="2:17" ht="15.75" thickBot="1" x14ac:dyDescent="0.3">
      <c r="B9" s="284"/>
      <c r="C9" s="287"/>
      <c r="D9" s="296"/>
      <c r="E9" s="298"/>
      <c r="F9" s="115" t="s">
        <v>303</v>
      </c>
      <c r="G9" s="116" t="s">
        <v>304</v>
      </c>
      <c r="H9" s="117" t="s">
        <v>305</v>
      </c>
      <c r="I9" s="115" t="s">
        <v>303</v>
      </c>
      <c r="J9" s="116" t="s">
        <v>304</v>
      </c>
      <c r="K9" s="117" t="s">
        <v>305</v>
      </c>
      <c r="L9" s="115" t="s">
        <v>303</v>
      </c>
      <c r="M9" s="116" t="s">
        <v>304</v>
      </c>
      <c r="N9" s="117" t="s">
        <v>305</v>
      </c>
      <c r="O9" s="115" t="s">
        <v>303</v>
      </c>
      <c r="P9" s="116" t="s">
        <v>304</v>
      </c>
      <c r="Q9" s="117" t="s">
        <v>305</v>
      </c>
    </row>
    <row r="10" spans="2:17" ht="15.75" x14ac:dyDescent="0.25">
      <c r="B10" s="129">
        <v>10</v>
      </c>
      <c r="C10" s="96"/>
      <c r="D10" s="97">
        <v>2.8</v>
      </c>
      <c r="E10" s="98">
        <v>0.77777777777777768</v>
      </c>
      <c r="F10" s="124">
        <v>0.01</v>
      </c>
      <c r="G10" s="131">
        <v>77.777777777777771</v>
      </c>
      <c r="H10" s="119">
        <v>6</v>
      </c>
      <c r="I10" s="126">
        <v>0.1</v>
      </c>
      <c r="J10" s="131">
        <v>7.7777777777777768</v>
      </c>
      <c r="K10" s="94">
        <v>64</v>
      </c>
      <c r="L10" s="124">
        <v>0.1</v>
      </c>
      <c r="M10" s="131">
        <v>7.7777777777777768</v>
      </c>
      <c r="N10" s="119">
        <v>64</v>
      </c>
      <c r="O10" s="124">
        <v>1</v>
      </c>
      <c r="P10" s="118">
        <v>0.77777777777777768</v>
      </c>
      <c r="Q10" s="94">
        <v>643</v>
      </c>
    </row>
    <row r="11" spans="2:17" ht="15.75" x14ac:dyDescent="0.25">
      <c r="B11" s="130">
        <v>15</v>
      </c>
      <c r="C11" s="99" t="s">
        <v>283</v>
      </c>
      <c r="D11" s="100">
        <v>7.87</v>
      </c>
      <c r="E11" s="140">
        <v>2.1861111111111109</v>
      </c>
      <c r="F11" s="125">
        <v>0.1</v>
      </c>
      <c r="G11" s="132">
        <v>21.861111111111107</v>
      </c>
      <c r="H11" s="120">
        <v>23</v>
      </c>
      <c r="I11" s="127">
        <v>0.1</v>
      </c>
      <c r="J11" s="132">
        <v>21.861111111111107</v>
      </c>
      <c r="K11" s="95">
        <v>23</v>
      </c>
      <c r="L11" s="125">
        <v>1</v>
      </c>
      <c r="M11" s="132">
        <v>2.1861111111111109</v>
      </c>
      <c r="N11" s="120">
        <v>229</v>
      </c>
      <c r="O11" s="125">
        <v>1</v>
      </c>
      <c r="P11" s="132">
        <v>2.1861111111111109</v>
      </c>
      <c r="Q11" s="95">
        <v>229</v>
      </c>
    </row>
    <row r="12" spans="2:17" ht="15.75" x14ac:dyDescent="0.25">
      <c r="B12" s="130">
        <v>20</v>
      </c>
      <c r="C12" s="99" t="s">
        <v>284</v>
      </c>
      <c r="D12" s="100">
        <v>12</v>
      </c>
      <c r="E12" s="140">
        <v>3.333333333333333</v>
      </c>
      <c r="F12" s="125">
        <v>0.1</v>
      </c>
      <c r="G12" s="132">
        <v>33.333333333333329</v>
      </c>
      <c r="H12" s="120">
        <v>15</v>
      </c>
      <c r="I12" s="127">
        <v>0.1</v>
      </c>
      <c r="J12" s="132">
        <v>33.333333333333329</v>
      </c>
      <c r="K12" s="95">
        <v>15</v>
      </c>
      <c r="L12" s="125">
        <v>1</v>
      </c>
      <c r="M12" s="132">
        <v>3.333333333333333</v>
      </c>
      <c r="N12" s="120">
        <v>150</v>
      </c>
      <c r="O12" s="125">
        <v>1</v>
      </c>
      <c r="P12" s="132">
        <v>3.333333333333333</v>
      </c>
      <c r="Q12" s="95">
        <v>150</v>
      </c>
    </row>
    <row r="13" spans="2:17" ht="15.75" x14ac:dyDescent="0.25">
      <c r="B13" s="130">
        <v>25</v>
      </c>
      <c r="C13" s="99" t="s">
        <v>285</v>
      </c>
      <c r="D13" s="100">
        <v>20</v>
      </c>
      <c r="E13" s="140">
        <v>5.5555555555555554</v>
      </c>
      <c r="F13" s="125">
        <v>0.1</v>
      </c>
      <c r="G13" s="132">
        <v>55.55555555555555</v>
      </c>
      <c r="H13" s="120">
        <v>9</v>
      </c>
      <c r="I13" s="127">
        <v>0.1</v>
      </c>
      <c r="J13" s="132">
        <v>55.55555555555555</v>
      </c>
      <c r="K13" s="95">
        <v>9</v>
      </c>
      <c r="L13" s="125">
        <v>1</v>
      </c>
      <c r="M13" s="132">
        <v>5.5555555555555554</v>
      </c>
      <c r="N13" s="120">
        <v>90</v>
      </c>
      <c r="O13" s="125">
        <v>1</v>
      </c>
      <c r="P13" s="132">
        <v>5.5555555555555554</v>
      </c>
      <c r="Q13" s="95">
        <v>90</v>
      </c>
    </row>
    <row r="14" spans="2:17" ht="15.75" x14ac:dyDescent="0.25">
      <c r="B14" s="130">
        <v>32</v>
      </c>
      <c r="C14" s="99" t="s">
        <v>286</v>
      </c>
      <c r="D14" s="100">
        <v>31.25</v>
      </c>
      <c r="E14" s="140">
        <v>8.6805555555555554</v>
      </c>
      <c r="F14" s="125">
        <v>0.1</v>
      </c>
      <c r="G14" s="132">
        <v>86.805555555555543</v>
      </c>
      <c r="H14" s="120">
        <v>6</v>
      </c>
      <c r="I14" s="127">
        <v>1</v>
      </c>
      <c r="J14" s="132">
        <v>8.6805555555555554</v>
      </c>
      <c r="K14" s="95">
        <v>58</v>
      </c>
      <c r="L14" s="125">
        <v>1</v>
      </c>
      <c r="M14" s="132">
        <v>8.6805555555555554</v>
      </c>
      <c r="N14" s="120">
        <v>58</v>
      </c>
      <c r="O14" s="125">
        <v>10</v>
      </c>
      <c r="P14" s="132">
        <v>0.86805555555555558</v>
      </c>
      <c r="Q14" s="95">
        <v>576</v>
      </c>
    </row>
    <row r="15" spans="2:17" ht="15.75" x14ac:dyDescent="0.25">
      <c r="B15" s="130">
        <v>40</v>
      </c>
      <c r="C15" s="99" t="s">
        <v>287</v>
      </c>
      <c r="D15" s="100">
        <v>50</v>
      </c>
      <c r="E15" s="141">
        <v>13.888888888888889</v>
      </c>
      <c r="F15" s="125">
        <v>1</v>
      </c>
      <c r="G15" s="132">
        <v>13.888888888888889</v>
      </c>
      <c r="H15" s="120">
        <v>36</v>
      </c>
      <c r="I15" s="127">
        <v>1</v>
      </c>
      <c r="J15" s="132">
        <v>13.888888888888889</v>
      </c>
      <c r="K15" s="95">
        <v>36</v>
      </c>
      <c r="L15" s="125">
        <v>10</v>
      </c>
      <c r="M15" s="132">
        <v>1.3888888888888888</v>
      </c>
      <c r="N15" s="120">
        <v>360</v>
      </c>
      <c r="O15" s="125">
        <v>10</v>
      </c>
      <c r="P15" s="132">
        <v>1.3888888888888888</v>
      </c>
      <c r="Q15" s="95">
        <v>360</v>
      </c>
    </row>
    <row r="16" spans="2:17" ht="15.75" x14ac:dyDescent="0.25">
      <c r="B16" s="130">
        <v>50</v>
      </c>
      <c r="C16" s="99" t="s">
        <v>288</v>
      </c>
      <c r="D16" s="100">
        <v>79</v>
      </c>
      <c r="E16" s="141">
        <v>21.944444444444443</v>
      </c>
      <c r="F16" s="125">
        <v>1</v>
      </c>
      <c r="G16" s="132">
        <v>21.944444444444443</v>
      </c>
      <c r="H16" s="120">
        <v>23</v>
      </c>
      <c r="I16" s="127">
        <v>1</v>
      </c>
      <c r="J16" s="132">
        <v>21.944444444444443</v>
      </c>
      <c r="K16" s="95">
        <v>23</v>
      </c>
      <c r="L16" s="125">
        <v>10</v>
      </c>
      <c r="M16" s="132">
        <v>2.1944444444444442</v>
      </c>
      <c r="N16" s="120">
        <v>228</v>
      </c>
      <c r="O16" s="125">
        <v>10</v>
      </c>
      <c r="P16" s="132">
        <v>2.1944444444444442</v>
      </c>
      <c r="Q16" s="95">
        <v>228</v>
      </c>
    </row>
    <row r="17" spans="2:17" ht="15.75" x14ac:dyDescent="0.25">
      <c r="B17" s="130">
        <v>65</v>
      </c>
      <c r="C17" s="99" t="s">
        <v>289</v>
      </c>
      <c r="D17" s="100">
        <v>125</v>
      </c>
      <c r="E17" s="141">
        <v>34.722222222222221</v>
      </c>
      <c r="F17" s="125">
        <v>1</v>
      </c>
      <c r="G17" s="132">
        <v>34.722222222222221</v>
      </c>
      <c r="H17" s="120">
        <v>14</v>
      </c>
      <c r="I17" s="127">
        <v>1</v>
      </c>
      <c r="J17" s="132">
        <v>34.722222222222221</v>
      </c>
      <c r="K17" s="95">
        <v>14</v>
      </c>
      <c r="L17" s="125">
        <v>10</v>
      </c>
      <c r="M17" s="132">
        <v>3.4722222222222223</v>
      </c>
      <c r="N17" s="120">
        <v>144</v>
      </c>
      <c r="O17" s="125">
        <v>10</v>
      </c>
      <c r="P17" s="132">
        <v>3.4722222222222223</v>
      </c>
      <c r="Q17" s="95">
        <v>144</v>
      </c>
    </row>
    <row r="18" spans="2:17" ht="15.75" x14ac:dyDescent="0.25">
      <c r="B18" s="130">
        <v>80</v>
      </c>
      <c r="C18" s="99" t="s">
        <v>290</v>
      </c>
      <c r="D18" s="100">
        <v>200</v>
      </c>
      <c r="E18" s="141">
        <v>55.555555555555557</v>
      </c>
      <c r="F18" s="125">
        <v>1</v>
      </c>
      <c r="G18" s="132">
        <v>55.555555555555557</v>
      </c>
      <c r="H18" s="120">
        <v>9</v>
      </c>
      <c r="I18" s="127">
        <v>1</v>
      </c>
      <c r="J18" s="132">
        <v>55.555555555555557</v>
      </c>
      <c r="K18" s="95">
        <v>9</v>
      </c>
      <c r="L18" s="125">
        <v>10</v>
      </c>
      <c r="M18" s="132">
        <v>5.5555555555555554</v>
      </c>
      <c r="N18" s="120">
        <v>90</v>
      </c>
      <c r="O18" s="125">
        <v>10</v>
      </c>
      <c r="P18" s="132">
        <v>5.5555555555555554</v>
      </c>
      <c r="Q18" s="95">
        <v>90</v>
      </c>
    </row>
    <row r="19" spans="2:17" ht="15.75" x14ac:dyDescent="0.25">
      <c r="B19" s="130">
        <v>100</v>
      </c>
      <c r="C19" s="99" t="s">
        <v>291</v>
      </c>
      <c r="D19" s="100">
        <v>312.5</v>
      </c>
      <c r="E19" s="141">
        <v>86.805555555555557</v>
      </c>
      <c r="F19" s="125">
        <v>1</v>
      </c>
      <c r="G19" s="132">
        <v>86.805555555555557</v>
      </c>
      <c r="H19" s="120">
        <v>6</v>
      </c>
      <c r="I19" s="127">
        <v>10</v>
      </c>
      <c r="J19" s="132">
        <v>8.6805555555555554</v>
      </c>
      <c r="K19" s="95">
        <v>58</v>
      </c>
      <c r="L19" s="125">
        <v>10</v>
      </c>
      <c r="M19" s="132">
        <v>8.6805555555555554</v>
      </c>
      <c r="N19" s="120">
        <v>58</v>
      </c>
      <c r="O19" s="125">
        <v>100</v>
      </c>
      <c r="P19" s="132">
        <v>0.86805555555555558</v>
      </c>
      <c r="Q19" s="95">
        <v>576</v>
      </c>
    </row>
    <row r="20" spans="2:17" ht="15.75" x14ac:dyDescent="0.25">
      <c r="B20" s="130">
        <v>125</v>
      </c>
      <c r="C20" s="99" t="s">
        <v>292</v>
      </c>
      <c r="D20" s="100">
        <v>500</v>
      </c>
      <c r="E20" s="142">
        <v>138.88888888888889</v>
      </c>
      <c r="F20" s="125">
        <v>10</v>
      </c>
      <c r="G20" s="132">
        <v>13.888888888888889</v>
      </c>
      <c r="H20" s="120">
        <v>36</v>
      </c>
      <c r="I20" s="127">
        <v>10</v>
      </c>
      <c r="J20" s="132">
        <v>13.888888888888889</v>
      </c>
      <c r="K20" s="95">
        <v>36</v>
      </c>
      <c r="L20" s="125">
        <v>100</v>
      </c>
      <c r="M20" s="132">
        <v>1.3888888888888888</v>
      </c>
      <c r="N20" s="120">
        <v>360</v>
      </c>
      <c r="O20" s="125">
        <v>100</v>
      </c>
      <c r="P20" s="132">
        <v>1.3888888888888888</v>
      </c>
      <c r="Q20" s="95">
        <v>360</v>
      </c>
    </row>
    <row r="21" spans="2:17" ht="15.75" x14ac:dyDescent="0.25">
      <c r="B21" s="130">
        <v>150</v>
      </c>
      <c r="C21" s="99" t="s">
        <v>293</v>
      </c>
      <c r="D21" s="100">
        <v>788</v>
      </c>
      <c r="E21" s="142">
        <v>218.88888888888889</v>
      </c>
      <c r="F21" s="125">
        <v>10</v>
      </c>
      <c r="G21" s="132">
        <v>21.888888888888889</v>
      </c>
      <c r="H21" s="120">
        <v>23</v>
      </c>
      <c r="I21" s="127">
        <v>10</v>
      </c>
      <c r="J21" s="132">
        <v>21.888888888888889</v>
      </c>
      <c r="K21" s="95">
        <v>23</v>
      </c>
      <c r="L21" s="125">
        <v>100</v>
      </c>
      <c r="M21" s="132">
        <v>2.1888888888888887</v>
      </c>
      <c r="N21" s="120">
        <v>228</v>
      </c>
      <c r="O21" s="125">
        <v>100</v>
      </c>
      <c r="P21" s="132">
        <v>2.1888888888888887</v>
      </c>
      <c r="Q21" s="95">
        <v>228</v>
      </c>
    </row>
    <row r="22" spans="2:17" ht="15.75" x14ac:dyDescent="0.25">
      <c r="B22" s="130">
        <v>200</v>
      </c>
      <c r="C22" s="99" t="s">
        <v>294</v>
      </c>
      <c r="D22" s="101">
        <v>1250</v>
      </c>
      <c r="E22" s="142">
        <v>347.22222222222223</v>
      </c>
      <c r="F22" s="125">
        <v>10</v>
      </c>
      <c r="G22" s="132">
        <v>34.722222222222221</v>
      </c>
      <c r="H22" s="120">
        <v>14</v>
      </c>
      <c r="I22" s="127">
        <v>10</v>
      </c>
      <c r="J22" s="132">
        <v>34.722222222222221</v>
      </c>
      <c r="K22" s="95">
        <v>14</v>
      </c>
      <c r="L22" s="125">
        <v>100</v>
      </c>
      <c r="M22" s="132">
        <v>3.4722222222222223</v>
      </c>
      <c r="N22" s="120">
        <v>144</v>
      </c>
      <c r="O22" s="125">
        <v>100</v>
      </c>
      <c r="P22" s="132">
        <v>3.4722222222222223</v>
      </c>
      <c r="Q22" s="95">
        <v>144</v>
      </c>
    </row>
    <row r="23" spans="2:17" ht="15.75" x14ac:dyDescent="0.25">
      <c r="B23" s="130">
        <v>250</v>
      </c>
      <c r="C23" s="99" t="s">
        <v>295</v>
      </c>
      <c r="D23" s="101">
        <v>2000</v>
      </c>
      <c r="E23" s="142">
        <v>555.55555555555554</v>
      </c>
      <c r="F23" s="125">
        <v>10</v>
      </c>
      <c r="G23" s="132">
        <v>55.555555555555557</v>
      </c>
      <c r="H23" s="120">
        <v>9</v>
      </c>
      <c r="I23" s="127">
        <v>10</v>
      </c>
      <c r="J23" s="132">
        <v>55.555555555555557</v>
      </c>
      <c r="K23" s="95">
        <v>9</v>
      </c>
      <c r="L23" s="125">
        <v>100</v>
      </c>
      <c r="M23" s="132">
        <v>5.5555555555555554</v>
      </c>
      <c r="N23" s="120">
        <v>90</v>
      </c>
      <c r="O23" s="125">
        <v>100</v>
      </c>
      <c r="P23" s="132">
        <v>5.5555555555555554</v>
      </c>
      <c r="Q23" s="95">
        <v>90</v>
      </c>
    </row>
    <row r="24" spans="2:17" ht="15.75" x14ac:dyDescent="0.25">
      <c r="B24" s="130">
        <v>300</v>
      </c>
      <c r="C24" s="99" t="s">
        <v>296</v>
      </c>
      <c r="D24" s="101">
        <v>3125</v>
      </c>
      <c r="E24" s="142">
        <v>868.05555555555554</v>
      </c>
      <c r="F24" s="125">
        <v>10</v>
      </c>
      <c r="G24" s="132">
        <v>86.805555555555557</v>
      </c>
      <c r="H24" s="120">
        <v>6</v>
      </c>
      <c r="I24" s="127">
        <v>100</v>
      </c>
      <c r="J24" s="132">
        <v>8.6805555555555554</v>
      </c>
      <c r="K24" s="95">
        <v>58</v>
      </c>
      <c r="L24" s="125">
        <v>100</v>
      </c>
      <c r="M24" s="132">
        <v>8.6805555555555554</v>
      </c>
      <c r="N24" s="120">
        <v>58</v>
      </c>
      <c r="O24" s="125">
        <v>1000</v>
      </c>
      <c r="P24" s="132">
        <v>0.86805555555555558</v>
      </c>
      <c r="Q24" s="95">
        <v>576</v>
      </c>
    </row>
    <row r="25" spans="2:17" ht="15.75" x14ac:dyDescent="0.25">
      <c r="B25" s="130">
        <v>350</v>
      </c>
      <c r="C25" s="99" t="s">
        <v>297</v>
      </c>
      <c r="D25" s="101">
        <v>3125</v>
      </c>
      <c r="E25" s="142">
        <v>868.05555555555554</v>
      </c>
      <c r="F25" s="125">
        <v>10</v>
      </c>
      <c r="G25" s="132">
        <v>86.805555555555557</v>
      </c>
      <c r="H25" s="120">
        <v>6</v>
      </c>
      <c r="I25" s="127">
        <v>100</v>
      </c>
      <c r="J25" s="132">
        <v>8.6805555555555554</v>
      </c>
      <c r="K25" s="95">
        <v>58</v>
      </c>
      <c r="L25" s="125">
        <v>100</v>
      </c>
      <c r="M25" s="132">
        <v>8.6805555555555554</v>
      </c>
      <c r="N25" s="120">
        <v>58</v>
      </c>
      <c r="O25" s="125">
        <v>1000</v>
      </c>
      <c r="P25" s="132">
        <v>0.86805555555555558</v>
      </c>
      <c r="Q25" s="95">
        <v>576</v>
      </c>
    </row>
    <row r="26" spans="2:17" ht="15.75" x14ac:dyDescent="0.25">
      <c r="B26" s="130">
        <v>400</v>
      </c>
      <c r="C26" s="99" t="s">
        <v>298</v>
      </c>
      <c r="D26" s="101">
        <v>5000</v>
      </c>
      <c r="E26" s="102">
        <v>1388.8888888888889</v>
      </c>
      <c r="F26" s="125">
        <v>100</v>
      </c>
      <c r="G26" s="132">
        <v>13.888888888888889</v>
      </c>
      <c r="H26" s="120">
        <v>36</v>
      </c>
      <c r="I26" s="127">
        <v>100</v>
      </c>
      <c r="J26" s="132">
        <v>13.888888888888889</v>
      </c>
      <c r="K26" s="95">
        <v>36</v>
      </c>
      <c r="L26" s="128">
        <v>1000</v>
      </c>
      <c r="M26" s="132">
        <v>1.3888888888888888</v>
      </c>
      <c r="N26" s="120">
        <v>360</v>
      </c>
      <c r="O26" s="128">
        <v>1000</v>
      </c>
      <c r="P26" s="132">
        <v>1.3888888888888888</v>
      </c>
      <c r="Q26" s="95">
        <v>360</v>
      </c>
    </row>
    <row r="27" spans="2:17" ht="15.75" x14ac:dyDescent="0.25">
      <c r="B27" s="130">
        <v>450</v>
      </c>
      <c r="C27" s="99" t="s">
        <v>326</v>
      </c>
      <c r="D27" s="101">
        <v>5000</v>
      </c>
      <c r="E27" s="102">
        <v>1388.8888888888889</v>
      </c>
      <c r="F27" s="125">
        <v>100</v>
      </c>
      <c r="G27" s="132">
        <v>13.888888888888889</v>
      </c>
      <c r="H27" s="120">
        <v>36</v>
      </c>
      <c r="I27" s="127">
        <v>100</v>
      </c>
      <c r="J27" s="132">
        <v>13.888888888888889</v>
      </c>
      <c r="K27" s="95">
        <v>36</v>
      </c>
      <c r="L27" s="128">
        <v>1000</v>
      </c>
      <c r="M27" s="132">
        <v>1.3888888888888888</v>
      </c>
      <c r="N27" s="120">
        <v>360</v>
      </c>
      <c r="O27" s="128">
        <v>1000</v>
      </c>
      <c r="P27" s="132">
        <v>1.3888888888888888</v>
      </c>
      <c r="Q27" s="95">
        <v>360</v>
      </c>
    </row>
    <row r="28" spans="2:17" ht="15.75" x14ac:dyDescent="0.25">
      <c r="B28" s="130">
        <v>500</v>
      </c>
      <c r="C28" s="99" t="s">
        <v>299</v>
      </c>
      <c r="D28" s="101">
        <v>7875</v>
      </c>
      <c r="E28" s="102">
        <v>2187.5</v>
      </c>
      <c r="F28" s="125">
        <v>100</v>
      </c>
      <c r="G28" s="132">
        <v>21.875</v>
      </c>
      <c r="H28" s="120">
        <v>23</v>
      </c>
      <c r="I28" s="127">
        <v>100</v>
      </c>
      <c r="J28" s="132">
        <v>21.875</v>
      </c>
      <c r="K28" s="95">
        <v>23</v>
      </c>
      <c r="L28" s="128">
        <v>1000</v>
      </c>
      <c r="M28" s="132">
        <v>2.1875</v>
      </c>
      <c r="N28" s="120">
        <v>229</v>
      </c>
      <c r="O28" s="128">
        <v>1000</v>
      </c>
      <c r="P28" s="132">
        <v>2.1875</v>
      </c>
      <c r="Q28" s="95">
        <v>229</v>
      </c>
    </row>
    <row r="29" spans="2:17" ht="15.75" x14ac:dyDescent="0.25">
      <c r="B29" s="130">
        <v>600</v>
      </c>
      <c r="C29" s="99" t="s">
        <v>300</v>
      </c>
      <c r="D29" s="101">
        <v>7875</v>
      </c>
      <c r="E29" s="102">
        <v>2187.5</v>
      </c>
      <c r="F29" s="125">
        <v>100</v>
      </c>
      <c r="G29" s="132">
        <v>21.875</v>
      </c>
      <c r="H29" s="120">
        <v>23</v>
      </c>
      <c r="I29" s="127">
        <v>100</v>
      </c>
      <c r="J29" s="132">
        <v>21.875</v>
      </c>
      <c r="K29" s="95">
        <v>23</v>
      </c>
      <c r="L29" s="128">
        <v>1000</v>
      </c>
      <c r="M29" s="132">
        <v>2.1875</v>
      </c>
      <c r="N29" s="120">
        <v>229</v>
      </c>
      <c r="O29" s="128">
        <v>1000</v>
      </c>
      <c r="P29" s="132">
        <v>2.1875</v>
      </c>
      <c r="Q29" s="95">
        <v>229</v>
      </c>
    </row>
    <row r="30" spans="2:17" ht="15.75" x14ac:dyDescent="0.25">
      <c r="B30" s="130">
        <v>700</v>
      </c>
      <c r="C30" s="99" t="s">
        <v>301</v>
      </c>
      <c r="D30" s="101">
        <v>12500</v>
      </c>
      <c r="E30" s="102">
        <v>3472.2222222222222</v>
      </c>
      <c r="F30" s="125">
        <v>100</v>
      </c>
      <c r="G30" s="132">
        <v>34.722222222222221</v>
      </c>
      <c r="H30" s="120">
        <v>14</v>
      </c>
      <c r="I30" s="127">
        <v>100</v>
      </c>
      <c r="J30" s="132">
        <v>34.722222222222221</v>
      </c>
      <c r="K30" s="95">
        <v>14</v>
      </c>
      <c r="L30" s="128">
        <v>1000</v>
      </c>
      <c r="M30" s="132">
        <v>3.4722222222222223</v>
      </c>
      <c r="N30" s="120">
        <v>144</v>
      </c>
      <c r="O30" s="128">
        <v>1000</v>
      </c>
      <c r="P30" s="132">
        <v>3.4722222222222223</v>
      </c>
      <c r="Q30" s="95">
        <v>144</v>
      </c>
    </row>
    <row r="31" spans="2:17" ht="16.5" thickBot="1" x14ac:dyDescent="0.3">
      <c r="B31" s="146">
        <v>800</v>
      </c>
      <c r="C31" s="147" t="s">
        <v>301</v>
      </c>
      <c r="D31" s="133">
        <v>12500</v>
      </c>
      <c r="E31" s="134">
        <v>3472.2222222222222</v>
      </c>
      <c r="F31" s="135">
        <v>100</v>
      </c>
      <c r="G31" s="136">
        <v>34.722222222222221</v>
      </c>
      <c r="H31" s="137">
        <v>14</v>
      </c>
      <c r="I31" s="148">
        <v>100</v>
      </c>
      <c r="J31" s="136">
        <v>34.722222222222221</v>
      </c>
      <c r="K31" s="138">
        <v>14</v>
      </c>
      <c r="L31" s="139">
        <v>1000</v>
      </c>
      <c r="M31" s="136">
        <v>3.4722222222222223</v>
      </c>
      <c r="N31" s="137">
        <v>144</v>
      </c>
      <c r="O31" s="139">
        <v>1000</v>
      </c>
      <c r="P31" s="136">
        <v>3.4722222222222223</v>
      </c>
      <c r="Q31" s="138">
        <v>144</v>
      </c>
    </row>
    <row r="32" spans="2:17" x14ac:dyDescent="0.25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</sheetData>
  <sheetProtection algorithmName="SHA-512" hashValue="X0TMwsVfZmGtE6gdG9/8okYet4GD/awMu33vI+vd4Ft7K0gmMCplg6kkMrG1FWCd205OR9n2Dpxf+JSAaIVtrA==" saltValue="xn2VJk4gImDLis8/aSZ16g==" spinCount="100000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44</vt:i4>
      </vt:variant>
    </vt:vector>
  </HeadingPairs>
  <TitlesOfParts>
    <vt:vector size="50" baseType="lpstr">
      <vt:lpstr>Specifikace</vt:lpstr>
      <vt:lpstr>List1</vt:lpstr>
      <vt:lpstr>Data</vt:lpstr>
      <vt:lpstr>Tech</vt:lpstr>
      <vt:lpstr>PS max</vt:lpstr>
      <vt:lpstr>Impulzní čísla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OC_B</vt:lpstr>
      <vt:lpstr>OC_DC</vt:lpstr>
      <vt:lpstr>OC_DK</vt:lpstr>
      <vt:lpstr>OC_DTdPED</vt:lpstr>
      <vt:lpstr>OC_F4vp</vt:lpstr>
      <vt:lpstr>OC_IC</vt:lpstr>
      <vt:lpstr>OC_JIC</vt:lpstr>
      <vt:lpstr>OC_JO</vt:lpstr>
      <vt:lpstr>OC_JP</vt:lpstr>
      <vt:lpstr>OC_JT</vt:lpstr>
      <vt:lpstr>OC_KC</vt:lpstr>
      <vt:lpstr>OC_KdPED</vt:lpstr>
      <vt:lpstr>OC_KPP</vt:lpstr>
      <vt:lpstr>OC_KSE</vt:lpstr>
      <vt:lpstr>OC_MaPUC</vt:lpstr>
      <vt:lpstr>OC_MDT</vt:lpstr>
      <vt:lpstr>OC_ME</vt:lpstr>
      <vt:lpstr>OC_MP</vt:lpstr>
      <vt:lpstr>OC_MPTM</vt:lpstr>
      <vt:lpstr>OC_MT</vt:lpstr>
      <vt:lpstr>OC_N</vt:lpstr>
      <vt:lpstr>OC_NM</vt:lpstr>
      <vt:lpstr>OC_PC</vt:lpstr>
      <vt:lpstr>OC_PMC</vt:lpstr>
      <vt:lpstr>OC_Prut</vt:lpstr>
      <vt:lpstr>OC_PVpP</vt:lpstr>
      <vt:lpstr>OC_R</vt:lpstr>
      <vt:lpstr>OC_RP</vt:lpstr>
      <vt:lpstr>OC_VC</vt:lpstr>
      <vt:lpstr>OC_VOUT1</vt:lpstr>
      <vt:lpstr>OC_Z</vt:lpstr>
      <vt:lpstr>OC_ZE</vt:lpstr>
      <vt:lpstr>OC_ZK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2024-01-24T11:51:10Z</cp:lastPrinted>
  <dcterms:created xsi:type="dcterms:W3CDTF">2019-05-29T08:44:12Z</dcterms:created>
  <dcterms:modified xsi:type="dcterms:W3CDTF">2024-07-18T09:06:06Z</dcterms:modified>
</cp:coreProperties>
</file>