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91255B30-0336-413D-ADF8-926ABBCD322D}" xr6:coauthVersionLast="47" xr6:coauthVersionMax="47" xr10:uidLastSave="{00000000-0000-0000-0000-000000000000}"/>
  <workbookProtection workbookAlgorithmName="SHA-512" workbookHashValue="mOAbmFLXTJPM6r+3Af20f1JYb7VpZB7g3MNDTKGvVuJ8MThSaVHJv3eKI3lC9rTjnniLSMBP5GJvTpuIjtWCNQ==" workbookSaltValue="NrPWSl+yOSvNmth8H25NRg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List1" sheetId="4" state="hidden" r:id="rId2"/>
    <sheet name="Data" sheetId="2" state="hidden" r:id="rId3"/>
    <sheet name="Teploty" sheetId="8" r:id="rId4"/>
    <sheet name="Impulzní čísla" sheetId="6" r:id="rId5"/>
    <sheet name="Tech" sheetId="3" state="hidden" r:id="rId6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Data!#REF!</definedName>
    <definedName name="Hodnoty">Specifikace!$D$5:$D$52</definedName>
    <definedName name="HodnotyHW">Specifikace!$D$5:$D$19</definedName>
    <definedName name="KodyOC">Specifikace!$E$5:$E$52</definedName>
    <definedName name="KodyOC_HW">Specifikace!$E$5:$E$19</definedName>
    <definedName name="NezadanHW">Tech!$F$2</definedName>
    <definedName name="Nezadano">Tech!$F$1</definedName>
    <definedName name="_xlnm.Print_Area" localSheetId="0">Specifikace!$B$1:$E$69</definedName>
    <definedName name="OC_ACH">Data!#REF!</definedName>
    <definedName name="OC_AV">Data!$A$198:$A$202</definedName>
    <definedName name="OC_AV_kod">Data!$A$198:$B$202</definedName>
    <definedName name="OC_B">Data!$A$277:$A$279</definedName>
    <definedName name="OC_CE">Data!#REF!</definedName>
    <definedName name="OC_D">Data!#REF!</definedName>
    <definedName name="OC_DC">Data!$A$16:$A$30</definedName>
    <definedName name="OC_DC_kod">Data!$A$16:$B$30</definedName>
    <definedName name="OC_DK">Data!$A$92:$A$100</definedName>
    <definedName name="OC_DK_kod">Data!$A$92:$B$100</definedName>
    <definedName name="OC_DM">Data!#REF!</definedName>
    <definedName name="OC_DTdPED">Data!#REF!</definedName>
    <definedName name="OC_F4vp">Data!$A$264:$A$265</definedName>
    <definedName name="OC_FOUT1">Data!$A$222:$A$223</definedName>
    <definedName name="OC_FOUT2">Data!$A$243:$A$244</definedName>
    <definedName name="OC_FR">Data!#REF!</definedName>
    <definedName name="OC_H">Data!$A$261:$A$262</definedName>
    <definedName name="OC_IC">Data!$A$102:$A$104</definedName>
    <definedName name="OC_INP">Data!#REF!</definedName>
    <definedName name="OC_JIC">Data!$A$107:$A$120</definedName>
    <definedName name="OC_JIC_kod">Data!$A$107:$B$120</definedName>
    <definedName name="OC_JO">Data!$A$122:$A$135</definedName>
    <definedName name="OC_JO_kod">Data!$A$122:$B$135</definedName>
    <definedName name="OC_JP">Data!$A$137:$A$162</definedName>
    <definedName name="OC_JP_kod">Data!$A$137:$B$162</definedName>
    <definedName name="OC_JT">Data!$A$60:$A$66</definedName>
    <definedName name="OC_JT_ASME">Data!$A$65:$A$66</definedName>
    <definedName name="OC_JT_EN">Data!$A$60:$A$63</definedName>
    <definedName name="OC_JT_kod">Data!$A$60:$B$66</definedName>
    <definedName name="OC_KC">Data!$A$53:$A$54</definedName>
    <definedName name="OC_KdPED">Data!#REF!</definedName>
    <definedName name="OC_KPP">Data!$A$8:$A$9</definedName>
    <definedName name="OC_KSE">Data!#REF!</definedName>
    <definedName name="OC_MaPUC">Data!$A$36:$A$38</definedName>
    <definedName name="OC_MaPUC_kod">Data!$A$36:$B$38</definedName>
    <definedName name="OC_MDT">Data!#REF!</definedName>
    <definedName name="OC_ME">Data!$A$40:$A$45</definedName>
    <definedName name="OC_ME_kod">Data!$A$40:$B$45</definedName>
    <definedName name="OC_MP">Data!$A$267:$A$273</definedName>
    <definedName name="OC_MPTM">Data!$A$79:$A$80</definedName>
    <definedName name="OC_MPTM_kod">Data!$A$79:$B$80</definedName>
    <definedName name="OC_MT">Data!$A$85:$A$86</definedName>
    <definedName name="OC_N">Data!#REF!</definedName>
    <definedName name="OC_NM">Data!$A$172:$A$174</definedName>
    <definedName name="OC_PC">Data!$A$32:$A$34</definedName>
    <definedName name="OC_PC_kod">Data!$A$32:$B$34</definedName>
    <definedName name="OC_PMC">Data!$A$5:$A$6</definedName>
    <definedName name="OC_Prut">Data!$A$195:$A$196</definedName>
    <definedName name="OC_PS">Data!$A$82:$A$83</definedName>
    <definedName name="OC_PS_kod">Data!$A$82:$B$83</definedName>
    <definedName name="OC_Pt">Data!$A$74:$A$77</definedName>
    <definedName name="OC_PVpP">Data!$A$164:$A$170</definedName>
    <definedName name="OC_R">Data!$A$246:$A$247</definedName>
    <definedName name="OC_RP">Data!$A$251:$A$259</definedName>
    <definedName name="OC_Tt">Data!$A$69:$A$72</definedName>
    <definedName name="OC_TtPt_kod">Data!$A$69:$B$77</definedName>
    <definedName name="OC_VC">Data!$A$47:$A$51</definedName>
    <definedName name="OC_VC_kod">Data!$A$47:$B$51</definedName>
    <definedName name="OC_VD">Data!#REF!</definedName>
    <definedName name="OC_VE">Data!$A$2:$A$3</definedName>
    <definedName name="OC_VE_kod">Data!$A$2:$B$3</definedName>
    <definedName name="OC_VOUT1">Data!$A$204:$A$219</definedName>
    <definedName name="OC_VOUT1_kod">Data!$A$204:$B$219</definedName>
    <definedName name="OC_VOUT2">Data!$A$225:$A$240</definedName>
    <definedName name="OC_VOUT2_kod">Data!$A$225:$B$240</definedName>
    <definedName name="OC_Z">Data!$A$286:$A$291</definedName>
    <definedName name="OC_ZE">Data!$A$56:$A$57</definedName>
    <definedName name="OC_ZJ">Data!$A$176:$A$186</definedName>
    <definedName name="OC_ZJ_kod">Data!$A$176:$B$186</definedName>
    <definedName name="OC_ZK">Data!$A$88:$A$89</definedName>
    <definedName name="OC_Zobr">Data!$A$188:$A$193</definedName>
    <definedName name="OC_Zobr_kod">Data!$A$188:$B$193</definedName>
    <definedName name="OC_Zon">Data!$A$11:$A$14</definedName>
    <definedName name="OC_Zon_kod">Data!$A$11:$B$14</definedName>
    <definedName name="OC_ZP">Data!$A$281:$A$284</definedName>
    <definedName name="Parametry">Specifikace!$B$4:$C$53</definedName>
    <definedName name="Preddef_hodn">Data!$A$4:$B$302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" l="1"/>
  <c r="D52" i="1" s="1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B38" i="3"/>
  <c r="G38" i="3" s="1"/>
  <c r="B44" i="3"/>
  <c r="G44" i="3" s="1"/>
  <c r="B46" i="3"/>
  <c r="G46" i="3" s="1"/>
  <c r="B51" i="3"/>
  <c r="G51" i="3" s="1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E20" i="1"/>
  <c r="B20" i="3" s="1"/>
  <c r="G20" i="3" s="1"/>
  <c r="C20" i="3"/>
  <c r="D20" i="3"/>
  <c r="A20" i="3"/>
  <c r="A21" i="3" l="1"/>
  <c r="C21" i="3"/>
  <c r="D21" i="3"/>
  <c r="A22" i="3"/>
  <c r="C22" i="3"/>
  <c r="D22" i="3"/>
  <c r="A23" i="3"/>
  <c r="C23" i="3"/>
  <c r="D23" i="3"/>
  <c r="A24" i="3"/>
  <c r="B24" i="3"/>
  <c r="G24" i="3" s="1"/>
  <c r="C24" i="3"/>
  <c r="D24" i="3"/>
  <c r="A25" i="3"/>
  <c r="C25" i="3"/>
  <c r="D25" i="3"/>
  <c r="A26" i="3"/>
  <c r="C26" i="3"/>
  <c r="D26" i="3"/>
  <c r="A18" i="3"/>
  <c r="D18" i="3"/>
  <c r="C10" i="3"/>
  <c r="D10" i="3"/>
  <c r="A10" i="3"/>
  <c r="E36" i="1" l="1"/>
  <c r="B36" i="3" l="1"/>
  <c r="G36" i="3" s="1"/>
  <c r="E31" i="1"/>
  <c r="B31" i="3" s="1"/>
  <c r="G31" i="3" s="1"/>
  <c r="E30" i="1"/>
  <c r="B30" i="3" s="1"/>
  <c r="G30" i="3" s="1"/>
  <c r="E29" i="1"/>
  <c r="B29" i="3" s="1"/>
  <c r="G29" i="3" s="1"/>
  <c r="E34" i="1" l="1"/>
  <c r="B34" i="3" s="1"/>
  <c r="G34" i="3" s="1"/>
  <c r="E33" i="1"/>
  <c r="H33" i="1" s="1"/>
  <c r="B33" i="3" l="1"/>
  <c r="G33" i="3" s="1"/>
  <c r="E27" i="1"/>
  <c r="B27" i="3" s="1"/>
  <c r="G27" i="3" s="1"/>
  <c r="E26" i="1"/>
  <c r="B26" i="3" s="1"/>
  <c r="G26" i="3" s="1"/>
  <c r="E18" i="1" l="1"/>
  <c r="B18" i="3" l="1"/>
  <c r="G18" i="3" s="1"/>
  <c r="E9" i="1"/>
  <c r="C18" i="1" s="1"/>
  <c r="E10" i="1"/>
  <c r="B10" i="3" l="1"/>
  <c r="G10" i="3" s="1"/>
  <c r="G14" i="1"/>
  <c r="H18" i="1"/>
  <c r="G12" i="1"/>
  <c r="E19" i="1"/>
  <c r="E17" i="1"/>
  <c r="C18" i="3" l="1"/>
  <c r="E15" i="1"/>
  <c r="D15" i="1"/>
  <c r="E14" i="1" l="1"/>
  <c r="H15" i="1" s="1"/>
  <c r="E13" i="1"/>
  <c r="E12" i="1"/>
  <c r="H12" i="1" s="1"/>
  <c r="E11" i="1"/>
  <c r="H17" i="1" l="1"/>
  <c r="G17" i="1"/>
  <c r="H14" i="1"/>
  <c r="C6" i="3"/>
  <c r="A6" i="3"/>
  <c r="E6" i="1"/>
  <c r="D6" i="1"/>
  <c r="D6" i="3" s="1"/>
  <c r="E5" i="1"/>
  <c r="H5" i="1" s="1"/>
  <c r="B6" i="3" l="1"/>
  <c r="G18" i="1"/>
  <c r="E39" i="1"/>
  <c r="E41" i="1" l="1"/>
  <c r="E42" i="1" s="1"/>
  <c r="E40" i="1"/>
  <c r="H41" i="1"/>
  <c r="H40" i="1"/>
  <c r="H43" i="1"/>
  <c r="E43" i="1"/>
  <c r="B43" i="3" s="1"/>
  <c r="G43" i="3" s="1"/>
  <c r="B39" i="3"/>
  <c r="G39" i="3" s="1"/>
  <c r="B42" i="3" l="1"/>
  <c r="G42" i="3" s="1"/>
  <c r="B41" i="3"/>
  <c r="G41" i="3" s="1"/>
  <c r="B40" i="3"/>
  <c r="G40" i="3" s="1"/>
  <c r="G40" i="1" l="1"/>
  <c r="E25" i="1" l="1"/>
  <c r="B25" i="3" l="1"/>
  <c r="G25" i="3" s="1"/>
  <c r="H36" i="1"/>
  <c r="H34" i="1"/>
  <c r="H25" i="1"/>
  <c r="E37" i="1" l="1"/>
  <c r="E35" i="1"/>
  <c r="H37" i="1" l="1"/>
  <c r="B37" i="3"/>
  <c r="G37" i="3" s="1"/>
  <c r="H35" i="1"/>
  <c r="B35" i="3"/>
  <c r="G35" i="3" s="1"/>
  <c r="E22" i="1"/>
  <c r="B22" i="3" s="1"/>
  <c r="G22" i="3" s="1"/>
  <c r="E45" i="1" l="1"/>
  <c r="B45" i="3" l="1"/>
  <c r="G45" i="3" s="1"/>
  <c r="H45" i="1"/>
  <c r="D7" i="3"/>
  <c r="D8" i="3"/>
  <c r="D9" i="3"/>
  <c r="D11" i="3"/>
  <c r="D12" i="3"/>
  <c r="D13" i="3"/>
  <c r="D14" i="3"/>
  <c r="D15" i="3"/>
  <c r="D16" i="3"/>
  <c r="D17" i="3"/>
  <c r="D19" i="3"/>
  <c r="A12" i="3"/>
  <c r="A13" i="3"/>
  <c r="A14" i="3"/>
  <c r="A15" i="3"/>
  <c r="A16" i="3"/>
  <c r="A17" i="3"/>
  <c r="A19" i="3"/>
  <c r="A5" i="3"/>
  <c r="A7" i="3"/>
  <c r="A8" i="3"/>
  <c r="B8" i="3"/>
  <c r="G8" i="3" s="1"/>
  <c r="C7" i="3"/>
  <c r="C8" i="3"/>
  <c r="C9" i="3"/>
  <c r="C12" i="3"/>
  <c r="C13" i="3"/>
  <c r="C14" i="3"/>
  <c r="C15" i="3"/>
  <c r="C16" i="3"/>
  <c r="C17" i="3"/>
  <c r="C19" i="3"/>
  <c r="E32" i="1" l="1"/>
  <c r="B32" i="3" s="1"/>
  <c r="G32" i="3" s="1"/>
  <c r="E28" i="1"/>
  <c r="B28" i="3" s="1"/>
  <c r="G28" i="3" s="1"/>
  <c r="H32" i="1" l="1"/>
  <c r="E21" i="1"/>
  <c r="B21" i="3" l="1"/>
  <c r="G21" i="3" s="1"/>
  <c r="B11" i="3"/>
  <c r="E7" i="1"/>
  <c r="H7" i="1" l="1"/>
  <c r="E23" i="1"/>
  <c r="B23" i="3" s="1"/>
  <c r="G23" i="3" s="1"/>
  <c r="H23" i="1"/>
  <c r="B7" i="3"/>
  <c r="G7" i="3" s="1"/>
  <c r="B17" i="3" l="1"/>
  <c r="G17" i="3" s="1"/>
  <c r="E48" i="1" l="1"/>
  <c r="B48" i="3" s="1"/>
  <c r="G48" i="3" s="1"/>
  <c r="B19" i="3" l="1"/>
  <c r="G19" i="3" s="1"/>
  <c r="B47" i="3" l="1"/>
  <c r="D52" i="3"/>
  <c r="E52" i="1"/>
  <c r="B52" i="3" s="1"/>
  <c r="G52" i="3" s="1"/>
  <c r="C11" i="3"/>
  <c r="G11" i="3" s="1"/>
  <c r="B9" i="3"/>
  <c r="G9" i="3" s="1"/>
  <c r="G19" i="1"/>
  <c r="G47" i="3" l="1"/>
  <c r="B13" i="3"/>
  <c r="G13" i="3" s="1"/>
  <c r="B15" i="3"/>
  <c r="G15" i="3" s="1"/>
  <c r="A9" i="3"/>
  <c r="A11" i="3"/>
  <c r="E16" i="1" l="1"/>
  <c r="H16" i="1" s="1"/>
  <c r="B16" i="3" l="1"/>
  <c r="G16" i="3" s="1"/>
  <c r="B12" i="3" l="1"/>
  <c r="G12" i="3" s="1"/>
  <c r="B14" i="3"/>
  <c r="G14" i="3" s="1"/>
  <c r="D5" i="3" l="1"/>
  <c r="C5" i="3"/>
  <c r="E50" i="1" l="1"/>
  <c r="B50" i="3" s="1"/>
  <c r="G50" i="3" s="1"/>
  <c r="E49" i="1"/>
  <c r="B49" i="3" s="1"/>
  <c r="G49" i="3" s="1"/>
  <c r="F1" i="3" l="1"/>
  <c r="H52" i="1" s="1"/>
  <c r="F2" i="3" l="1"/>
  <c r="D57" i="1" l="1"/>
  <c r="B5" i="3" l="1"/>
  <c r="C57" i="1" s="1"/>
  <c r="I58" i="1" l="1"/>
  <c r="C56" i="1"/>
  <c r="G5" i="3"/>
  <c r="H1" i="3" s="1"/>
  <c r="G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Dimenze dle EN / dimenze dle ASME</t>
        </r>
      </text>
    </comment>
    <comment ref="D1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Standardní kombinace jmenovitých tlaků a dimenzí
u přírub EN:
PN 40  ~  DN 15 až 50
PN 16  ~  DN 65 až 200
PN 10  ~  DN 250 až 300
U přírub ASME je jmenovitý tlak Class 150 pro všechny dimenze.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Povolená teplota měřeného média
</t>
        </r>
        <r>
          <rPr>
            <sz val="9"/>
            <color indexed="81"/>
            <rFont val="Tahoma"/>
            <family val="2"/>
            <charset val="238"/>
          </rPr>
          <t xml:space="preserve">závisí na zóně, teplotní třídě či povrchové teplotě, výstelce a dimenzi.
Podle těchto parametrů ji zjistíte v tabulce na listu </t>
        </r>
        <r>
          <rPr>
            <b/>
            <sz val="9"/>
            <color indexed="81"/>
            <rFont val="Tahoma"/>
            <family val="2"/>
            <charset val="238"/>
          </rPr>
          <t>Teploty</t>
        </r>
        <r>
          <rPr>
            <sz val="9"/>
            <color indexed="81"/>
            <rFont val="Tahoma"/>
            <family val="2"/>
            <charset val="238"/>
          </rPr>
          <t>!</t>
        </r>
      </text>
    </comment>
    <comment ref="D23" authorId="1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 kompaktního provedení nevyplňujte!</t>
        </r>
      </text>
    </comment>
    <comment ref="D2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Měření vždy OBOUSMĚRNÉ
</t>
        </r>
      </text>
    </comment>
    <comment ref="D34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40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Standardní adresa: </t>
        </r>
        <r>
          <rPr>
            <b/>
            <sz val="9"/>
            <color indexed="81"/>
            <rFont val="Tahoma"/>
            <family val="2"/>
            <charset val="238"/>
          </rPr>
          <t>4</t>
        </r>
      </text>
    </comment>
    <comment ref="D4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Baud (Bd) je jednotka modulační rychlosti  udávající počet změn stavu přenosového média za 1 sekundu.</t>
        </r>
      </text>
    </comment>
    <comment ref="C4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Příslušenství:</t>
        </r>
        <r>
          <rPr>
            <sz val="9"/>
            <color indexed="81"/>
            <rFont val="Tahoma"/>
            <family val="2"/>
            <charset val="238"/>
          </rPr>
          <t xml:space="preserve">
Převodník USB/RS-485,
připojovací kabely,
uživatelská příručka.</t>
        </r>
      </text>
    </comment>
    <comment ref="D4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Prostřednictvím programu FLOSET lze průtokoměr připojit k počítači (PC, notebook, tablet), na kterém je nainstalován Windows 7 a vyšší (nebo Linux, iOS) s JAVA 8u40 a vyšší.</t>
        </r>
      </text>
    </comment>
    <comment ref="C4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Zahrnují kalibrace i úřední ověření
</t>
        </r>
      </text>
    </comment>
    <comment ref="D45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5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 v případě, že výrobek je uveden v DB IS Helios.</t>
        </r>
      </text>
    </comment>
    <comment ref="C60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B11" authorId="0" shapeId="0" xr:uid="{A6B1E41E-2684-4444-A63E-D89AF13DEBC7}">
      <text>
        <r>
          <rPr>
            <sz val="9"/>
            <color indexed="81"/>
            <rFont val="Tahoma"/>
            <family val="2"/>
            <charset val="238"/>
          </rPr>
          <t>Zóny "0" a "20" nenabízíme &lt;= není certifikát, nevyrábíme.</t>
        </r>
      </text>
    </comment>
    <comment ref="A91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0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16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21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37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42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</commentList>
</comments>
</file>

<file path=xl/sharedStrings.xml><?xml version="1.0" encoding="utf-8"?>
<sst xmlns="http://schemas.openxmlformats.org/spreadsheetml/2006/main" count="711" uniqueCount="423">
  <si>
    <t>-</t>
  </si>
  <si>
    <t>Provedení měřicího čidla</t>
  </si>
  <si>
    <t>TECHNICKÉ PARAMETRY</t>
  </si>
  <si>
    <t>TYPOVÉ ZAŘAZENÍ</t>
  </si>
  <si>
    <t>COMFORT kompaktní</t>
  </si>
  <si>
    <t>COMFORT oddělené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</si>
  <si>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</si>
  <si>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</si>
  <si>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</si>
  <si>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</si>
  <si>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</si>
  <si>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</si>
  <si>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</si>
  <si>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</si>
  <si>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</si>
  <si>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</si>
  <si>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</si>
  <si>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</si>
  <si>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</si>
  <si>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</si>
  <si>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</si>
  <si>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</si>
  <si>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</si>
  <si>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</si>
  <si>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</si>
  <si>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</si>
  <si>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</si>
  <si>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</si>
  <si>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</si>
  <si>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</si>
  <si>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</si>
  <si>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Přírubové</t>
  </si>
  <si>
    <t>Nestandardní</t>
  </si>
  <si>
    <t>Kód OČ</t>
  </si>
  <si>
    <t>Objednací číslo</t>
  </si>
  <si>
    <t>Výstelka čidla</t>
  </si>
  <si>
    <t>Příruby čidla</t>
  </si>
  <si>
    <t>Materiál a povrchová úprava čidla</t>
  </si>
  <si>
    <t>Celonerezové 1.4301</t>
  </si>
  <si>
    <t>Nerezová ocel 1.4571</t>
  </si>
  <si>
    <t>Hastelloy C-276</t>
  </si>
  <si>
    <t>Tantal</t>
  </si>
  <si>
    <t>Pol.</t>
  </si>
  <si>
    <t>Ne</t>
  </si>
  <si>
    <t>NASTAVENÍ PRŮTOKOMĚRU</t>
  </si>
  <si>
    <t>1</t>
  </si>
  <si>
    <t>Necitlivost měření</t>
  </si>
  <si>
    <t>Počet vzorků pro průměrování</t>
  </si>
  <si>
    <t>l/s</t>
  </si>
  <si>
    <t>l/min</t>
  </si>
  <si>
    <t>Není požadováno</t>
  </si>
  <si>
    <t>Provozní čas</t>
  </si>
  <si>
    <t>Procentní průtok</t>
  </si>
  <si>
    <t>Poslední závada</t>
  </si>
  <si>
    <t>Není požadován</t>
  </si>
  <si>
    <t>Není nabízena ze seznamu</t>
  </si>
  <si>
    <t>1 200 Bd</t>
  </si>
  <si>
    <t>2 400 Bd</t>
  </si>
  <si>
    <t>4 800 Bd</t>
  </si>
  <si>
    <t>19 200 Bd</t>
  </si>
  <si>
    <t>38 400 Bd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</si>
  <si>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</si>
  <si>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</si>
  <si>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</si>
  <si>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</si>
  <si>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</si>
  <si>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</si>
  <si>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</si>
  <si>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</si>
  <si>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</si>
  <si>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</si>
  <si>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</si>
  <si>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</si>
  <si>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</si>
  <si>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</si>
  <si>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</si>
  <si>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</si>
  <si>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</si>
  <si>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</si>
  <si>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</si>
  <si>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</si>
  <si>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</si>
  <si>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</si>
  <si>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10 m</t>
  </si>
  <si>
    <t>15 m</t>
  </si>
  <si>
    <t>80 °C</t>
  </si>
  <si>
    <t>130 °C</t>
  </si>
  <si>
    <t>PN 10</t>
  </si>
  <si>
    <t>Délka kabelů</t>
  </si>
  <si>
    <t>Není nabízen ze seznamu</t>
  </si>
  <si>
    <t>Evidenční číslo manuálu průtokoměru</t>
  </si>
  <si>
    <t>Doporučená hodnota</t>
  </si>
  <si>
    <t>Chybové hlášení / poznámka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</si>
  <si>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</si>
  <si>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</si>
  <si>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Zemnicí kroužky</t>
  </si>
  <si>
    <t>ANO</t>
  </si>
  <si>
    <t>Impulzní číslo</t>
  </si>
  <si>
    <t>Firma</t>
  </si>
  <si>
    <t>Číslo položky v poptávce/objednávce</t>
  </si>
  <si>
    <t>Vystavil - jméno a příjmení</t>
  </si>
  <si>
    <t>Počet kusů</t>
  </si>
  <si>
    <t>00</t>
  </si>
  <si>
    <t>Pozice</t>
  </si>
  <si>
    <t>Kód</t>
  </si>
  <si>
    <t>Název</t>
  </si>
  <si>
    <t>Hodnota</t>
  </si>
  <si>
    <t>Výše uvedené parametry definující konstrukci výrobku.</t>
  </si>
  <si>
    <t>50</t>
  </si>
  <si>
    <t>IDO výrobku (zadává ELIS)</t>
  </si>
  <si>
    <t>Bez kabelu</t>
  </si>
  <si>
    <t>Referent ELIS</t>
  </si>
  <si>
    <t>Číslo poptávky/objednávky zákazníka</t>
  </si>
  <si>
    <t>m³/min</t>
  </si>
  <si>
    <t>x</t>
  </si>
  <si>
    <t>xx</t>
  </si>
  <si>
    <t>x4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</si>
  <si>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"x")</t>
    </r>
  </si>
  <si>
    <t>Tabulka slouží jako příloha k poptávce nebo k objednávce a k zakázkovému listu pro výrobu.</t>
  </si>
  <si>
    <t>Konstrukční provedení průtokoměru</t>
  </si>
  <si>
    <t>Zemnicí elektroda</t>
  </si>
  <si>
    <t>Nadstandardní IP 68</t>
  </si>
  <si>
    <t>Voda</t>
  </si>
  <si>
    <t>200</t>
  </si>
  <si>
    <t>250</t>
  </si>
  <si>
    <t>150</t>
  </si>
  <si>
    <t>Česky</t>
  </si>
  <si>
    <t>English</t>
  </si>
  <si>
    <t>Dutch</t>
  </si>
  <si>
    <t>Español</t>
  </si>
  <si>
    <t>Polski</t>
  </si>
  <si>
    <t>Français</t>
  </si>
  <si>
    <t>Italiano</t>
  </si>
  <si>
    <t>Deutsch</t>
  </si>
  <si>
    <t>По Русски</t>
  </si>
  <si>
    <t>Português</t>
  </si>
  <si>
    <t>Čas/datum</t>
  </si>
  <si>
    <t>Průtok 100% (l/s)</t>
  </si>
  <si>
    <t>Zobrazovat</t>
  </si>
  <si>
    <t>l/h</t>
  </si>
  <si>
    <t>bbl/s</t>
  </si>
  <si>
    <t>bbl/min</t>
  </si>
  <si>
    <t>bbl/h</t>
  </si>
  <si>
    <t>bbl/den</t>
  </si>
  <si>
    <t>m³/den</t>
  </si>
  <si>
    <t>ft³/s</t>
  </si>
  <si>
    <t>ft³/min</t>
  </si>
  <si>
    <t>ft³/h</t>
  </si>
  <si>
    <t>ft³/den</t>
  </si>
  <si>
    <t>Imp gal/s</t>
  </si>
  <si>
    <t>Imp gal/min</t>
  </si>
  <si>
    <t>Imp gal/h</t>
  </si>
  <si>
    <t>Imp gal/den</t>
  </si>
  <si>
    <t>l</t>
  </si>
  <si>
    <t>bbl</t>
  </si>
  <si>
    <t>bblLiq</t>
  </si>
  <si>
    <t>hl</t>
  </si>
  <si>
    <t>Imp gal</t>
  </si>
  <si>
    <t>yd³</t>
  </si>
  <si>
    <t>ft³</t>
  </si>
  <si>
    <t>in³</t>
  </si>
  <si>
    <t>Analogový výstup</t>
  </si>
  <si>
    <t>x2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</si>
  <si>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</si>
  <si>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>Trvale sepnuto</t>
  </si>
  <si>
    <t>Funkce OUT1</t>
  </si>
  <si>
    <t>Funkce OUT2</t>
  </si>
  <si>
    <t>Adresa</t>
  </si>
  <si>
    <t>Adresa - zapište z rozsahu 1 až 247</t>
  </si>
  <si>
    <t>300 Bd</t>
  </si>
  <si>
    <t>600 Bd</t>
  </si>
  <si>
    <t>56 800 Bd</t>
  </si>
  <si>
    <t>Ano</t>
  </si>
  <si>
    <t>FLOSET 4.0 včetně příslušenství</t>
  </si>
  <si>
    <r>
      <t>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÷ Q+  dle požadavku</t>
    </r>
  </si>
  <si>
    <r>
      <t>0 ÷ |</t>
    </r>
    <r>
      <rPr>
        <sz val="11"/>
        <color theme="1"/>
        <rFont val="Calibri"/>
        <family val="2"/>
        <charset val="238"/>
        <scheme val="minor"/>
      </rPr>
      <t>Q|  dle požadavku</t>
    </r>
  </si>
  <si>
    <t>US liquid gal</t>
  </si>
  <si>
    <t>bush US</t>
  </si>
  <si>
    <t>milion l/den</t>
  </si>
  <si>
    <r>
      <t>m</t>
    </r>
    <r>
      <rPr>
        <sz val="11"/>
        <rFont val="Calibri"/>
        <family val="2"/>
        <charset val="238"/>
      </rPr>
      <t>³</t>
    </r>
    <r>
      <rPr>
        <sz val="11"/>
        <rFont val="Calibri"/>
        <family val="2"/>
        <charset val="238"/>
        <scheme val="minor"/>
      </rPr>
      <t>/s</t>
    </r>
  </si>
  <si>
    <t>US liquid gal/s (GPS)</t>
  </si>
  <si>
    <t>US liquid gal/min (GPM)</t>
  </si>
  <si>
    <t>US liquid gal/hod (GPH)</t>
  </si>
  <si>
    <t>US liquid gal/den (GPD)</t>
  </si>
  <si>
    <t>milion US liquid gal/den</t>
  </si>
  <si>
    <r>
      <t xml:space="preserve">Frekvenční - nestandardní (Q </t>
    </r>
    <r>
      <rPr>
        <sz val="11"/>
        <rFont val="Calibri"/>
        <family val="2"/>
        <charset val="238"/>
      </rPr>
      <t>≠</t>
    </r>
    <r>
      <rPr>
        <sz val="11"/>
        <rFont val="Calibri"/>
        <family val="2"/>
        <charset val="238"/>
        <scheme val="minor"/>
      </rPr>
      <t xml:space="preserve"> Q₃)</t>
    </r>
  </si>
  <si>
    <t>Výstup OUT1</t>
  </si>
  <si>
    <t>Výstup OUT2</t>
  </si>
  <si>
    <t>METROLOGICKÉ POŽADAVKY</t>
  </si>
  <si>
    <t>Metrologický požadavek</t>
  </si>
  <si>
    <t>Metrologické požadavky</t>
  </si>
  <si>
    <t>Bez metrologického požadavku</t>
  </si>
  <si>
    <t>Standardní kalibrace dle EN ISO 4064-1, tř. přesnosti 2</t>
  </si>
  <si>
    <t>Nestandardní metrologický požadavek</t>
  </si>
  <si>
    <t>Nadstandardní kalibrace s přesností ±0,5 %</t>
  </si>
  <si>
    <t>Nadstandardní kalibrace s přesností ±0,2 %</t>
  </si>
  <si>
    <t>Úřední ověření dle ISO4064-1 bez Potvrzení o ověření</t>
  </si>
  <si>
    <t>Úřední ověření dle ISO4064-1 
+ Potvrzení o metrologickém ověření</t>
  </si>
  <si>
    <t xml:space="preserve">12 měsíců </t>
  </si>
  <si>
    <t>Záporný</t>
  </si>
  <si>
    <t xml:space="preserve"> )</t>
  </si>
  <si>
    <t>NPS</t>
  </si>
  <si>
    <t>Objem</t>
  </si>
  <si>
    <t>Šířka</t>
  </si>
  <si>
    <t>pro Q4</t>
  </si>
  <si>
    <t>V</t>
  </si>
  <si>
    <t>f</t>
  </si>
  <si>
    <t>Pmax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</si>
  <si>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</si>
  <si>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</si>
  <si>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</si>
  <si>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</si>
  <si>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</si>
  <si>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</si>
  <si>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</si>
  <si>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</si>
  <si>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</si>
  <si>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t>5“</t>
  </si>
  <si>
    <t>6“</t>
  </si>
  <si>
    <t>8“</t>
  </si>
  <si>
    <t>10“</t>
  </si>
  <si>
    <t>12“</t>
  </si>
  <si>
    <t>Přehled impulzních čísel</t>
  </si>
  <si>
    <t>[l/imp]</t>
  </si>
  <si>
    <t>[Hz]</t>
  </si>
  <si>
    <t>[ms]</t>
  </si>
  <si>
    <t>f pulzů</t>
  </si>
  <si>
    <t>pulzu</t>
  </si>
  <si>
    <t>(v = 10 m/s)</t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</si>
  <si>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</si>
  <si>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</si>
  <si>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t>[l/s]</t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</si>
  <si>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</si>
  <si>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</si>
  <si>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</si>
  <si>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r>
      <t>Impulzní číslo</t>
    </r>
    <r>
      <rPr>
        <sz val="11"/>
        <color rgb="FF000000"/>
        <rFont val="Calibri"/>
        <family val="2"/>
      </rPr>
      <t xml:space="preserve">  </t>
    </r>
    <r>
      <rPr>
        <sz val="10"/>
        <color rgb="FF000000"/>
        <rFont val="Calibri"/>
        <family val="2"/>
        <charset val="238"/>
      </rPr>
      <t>[l/impulz]</t>
    </r>
  </si>
  <si>
    <r>
      <t xml:space="preserve">DN </t>
    </r>
    <r>
      <rPr>
        <sz val="10"/>
        <color rgb="FF000000"/>
        <rFont val="Calibri"/>
        <family val="2"/>
        <charset val="238"/>
      </rPr>
      <t>[mm]</t>
    </r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</si>
  <si>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</si>
  <si>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</si>
  <si>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v závislosti na frekvenci a dimenzi</t>
  </si>
  <si>
    <t>x1</t>
  </si>
  <si>
    <r>
      <t>HART</t>
    </r>
    <r>
      <rPr>
        <b/>
        <sz val="14"/>
        <color theme="1"/>
        <rFont val="Calibri"/>
        <family val="2"/>
        <charset val="238"/>
        <scheme val="minor"/>
      </rPr>
      <t xml:space="preserve">® </t>
    </r>
    <r>
      <rPr>
        <i/>
        <sz val="10"/>
        <color rgb="FFC00000"/>
        <rFont val="Calibri"/>
        <family val="2"/>
        <charset val="238"/>
        <scheme val="minor"/>
      </rPr>
      <t>(na listu Specifikace zatím skrytý řádek)</t>
    </r>
  </si>
  <si>
    <r>
      <t xml:space="preserve">Ano </t>
    </r>
    <r>
      <rPr>
        <i/>
        <sz val="11"/>
        <color rgb="FFC00000"/>
        <rFont val="Calibri"/>
        <family val="2"/>
        <charset val="238"/>
        <scheme val="minor"/>
      </rPr>
      <t>(nepoužívat, v přípravě)</t>
    </r>
  </si>
  <si>
    <t>0 ÷ |Q|  (Q = Q₃)</t>
  </si>
  <si>
    <t xml:space="preserve">Výstup OUT1  </t>
  </si>
  <si>
    <t xml:space="preserve">Výstup OUT2  </t>
  </si>
  <si>
    <t>Sloupec pro zápis návrhu úprav</t>
  </si>
  <si>
    <t>m³ (standardně)</t>
  </si>
  <si>
    <t>m³/h (standardně)</t>
  </si>
  <si>
    <t>Celkový objem (standardně)</t>
  </si>
  <si>
    <t>Q- ÷ Q+  (Q = Q₃)  (standardně)</t>
  </si>
  <si>
    <t>9 600 Bd (standardně)</t>
  </si>
  <si>
    <t>24 měsíců (standardně)</t>
  </si>
  <si>
    <t>5 m (standardně)</t>
  </si>
  <si>
    <t>100 (standardně)</t>
  </si>
  <si>
    <t>Výstup OUT1 není požadován či není pulzní</t>
  </si>
  <si>
    <t>Kladný (standardně)</t>
  </si>
  <si>
    <t>Výstup OUT2 není požadován či není pulzní</t>
  </si>
  <si>
    <t>Pulzní - nestandardní pulzy nebo impulzní číslo</t>
  </si>
  <si>
    <t>Rozhraní</t>
  </si>
  <si>
    <t>Komunikace není požadována</t>
  </si>
  <si>
    <t>RS-485 MODBUS RTU</t>
  </si>
  <si>
    <r>
      <t>HART</t>
    </r>
    <r>
      <rPr>
        <sz val="16"/>
        <color rgb="FF990033"/>
        <rFont val="Calibri"/>
        <family val="2"/>
        <charset val="238"/>
        <scheme val="minor"/>
      </rPr>
      <t>®</t>
    </r>
  </si>
  <si>
    <t>NASTAVENÍ KOMUNIKACE</t>
  </si>
  <si>
    <t>FX</t>
  </si>
  <si>
    <t>Specifikační tabulka elektromagnetického průtokoměru FLONEX FXx11x</t>
  </si>
  <si>
    <t>Vyhodnocovací elektronika</t>
  </si>
  <si>
    <t>24 V DC  (typ C12.x0)</t>
  </si>
  <si>
    <t>230 V AC  (typ C13.x0)</t>
  </si>
  <si>
    <r>
      <t xml:space="preserve">Provedení měřicího čidla   </t>
    </r>
    <r>
      <rPr>
        <i/>
        <sz val="9"/>
        <color rgb="FF0033CC"/>
        <rFont val="Calibri"/>
        <family val="2"/>
        <charset val="238"/>
        <scheme val="minor"/>
      </rPr>
      <t>Dosazuje automaticky!</t>
    </r>
  </si>
  <si>
    <t>6</t>
  </si>
  <si>
    <t>DN15 / NPS ½“</t>
  </si>
  <si>
    <t>DN20 / NPS ¾“</t>
  </si>
  <si>
    <t>DN25 / NPS 1“</t>
  </si>
  <si>
    <t>DN32 / NPS 1 ¼“</t>
  </si>
  <si>
    <t>DN40 / NPS 1 ½“</t>
  </si>
  <si>
    <t>DN50 / NPS 2“</t>
  </si>
  <si>
    <t>DN65 / NPS 2 ½“</t>
  </si>
  <si>
    <t>DN80 / NPS 3“</t>
  </si>
  <si>
    <t>DN100 / NPS 4“</t>
  </si>
  <si>
    <t>DN125 / NPS 5“</t>
  </si>
  <si>
    <t>DN150 / NPS 6“</t>
  </si>
  <si>
    <t>DN200 / NPS 8“</t>
  </si>
  <si>
    <t>DN250 / NPS 10“</t>
  </si>
  <si>
    <t>DN300 / NPS 12“</t>
  </si>
  <si>
    <r>
      <t>Dimenze čidla</t>
    </r>
    <r>
      <rPr>
        <sz val="11"/>
        <rFont val="Calibri"/>
        <family val="2"/>
        <charset val="238"/>
        <scheme val="minor"/>
      </rPr>
      <t xml:space="preserve"> (EN/ASME)</t>
    </r>
  </si>
  <si>
    <t>EN ISO 1092-1</t>
  </si>
  <si>
    <t>ASME (ANSI) B16.5</t>
  </si>
  <si>
    <t>Plášť i příruby: Uhlíková ocel 
Vnější nátěr: Polyuretan</t>
  </si>
  <si>
    <t>Materiál elektrod a zemnicích kroužků</t>
  </si>
  <si>
    <t>Platina-rhodium</t>
  </si>
  <si>
    <t>Titan</t>
  </si>
  <si>
    <t>Druh výstelky</t>
  </si>
  <si>
    <t>MG</t>
  </si>
  <si>
    <t>T6</t>
  </si>
  <si>
    <t>NG</t>
  </si>
  <si>
    <t>PTFE</t>
  </si>
  <si>
    <t>T5</t>
  </si>
  <si>
    <t>95 °C</t>
  </si>
  <si>
    <t>T4</t>
  </si>
  <si>
    <t>T3</t>
  </si>
  <si>
    <t>155 °C</t>
  </si>
  <si>
    <t>E-CTFE  (jen DN300)</t>
  </si>
  <si>
    <t>Tvrdá pryž pro pitnou vodu NG  (od DN40)</t>
  </si>
  <si>
    <t>Měkká pryž MG  (od DN25)</t>
  </si>
  <si>
    <t>Teflon PTFE  (všechny DN)</t>
  </si>
  <si>
    <r>
      <t xml:space="preserve">Standardní IP 67  </t>
    </r>
    <r>
      <rPr>
        <i/>
        <sz val="10"/>
        <color theme="1"/>
        <rFont val="Calibri"/>
        <family val="2"/>
        <charset val="238"/>
        <scheme val="minor"/>
      </rPr>
      <t>(dosazuje se automaticky)</t>
    </r>
  </si>
  <si>
    <t xml:space="preserve">Class 150 </t>
  </si>
  <si>
    <t>PN 16</t>
  </si>
  <si>
    <t>PN 40</t>
  </si>
  <si>
    <t>139 °C</t>
  </si>
  <si>
    <t>DN15–DN25</t>
  </si>
  <si>
    <t>DN32–DN300</t>
  </si>
  <si>
    <t>DN25</t>
  </si>
  <si>
    <t>DN40–DN300</t>
  </si>
  <si>
    <t>E-CTFE</t>
  </si>
  <si>
    <t>DN300</t>
  </si>
  <si>
    <t>Rozsah DN</t>
  </si>
  <si>
    <t>64 °C</t>
  </si>
  <si>
    <t>123 °C</t>
  </si>
  <si>
    <t>114 °C</t>
  </si>
  <si>
    <t>98 °C</t>
  </si>
  <si>
    <t>79 °C</t>
  </si>
  <si>
    <t>63 °C</t>
  </si>
  <si>
    <t>48 °C</t>
  </si>
  <si>
    <t>Přípustná
max. teplota
měřeného média</t>
  </si>
  <si>
    <r>
      <t>Požadovaná
teplotní třída 
pro 2G</t>
    </r>
    <r>
      <rPr>
        <sz val="10"/>
        <color theme="1"/>
        <rFont val="Arial"/>
        <family val="2"/>
        <charset val="238"/>
      </rPr>
      <t xml:space="preserve"> (plyny)</t>
    </r>
  </si>
  <si>
    <r>
      <t>Požadovaná
povrchová teplota
pro 2D</t>
    </r>
    <r>
      <rPr>
        <sz val="10"/>
        <color theme="1"/>
        <rFont val="Arial"/>
        <family val="2"/>
        <charset val="238"/>
      </rPr>
      <t xml:space="preserve"> (prach)</t>
    </r>
  </si>
  <si>
    <t>Vztah mezi teplotní třídou Ex zařízení a teplotou měřeného média</t>
  </si>
  <si>
    <t>Jmenovitý tlak</t>
  </si>
  <si>
    <r>
      <t>Zóna</t>
    </r>
    <r>
      <rPr>
        <sz val="11"/>
        <rFont val="Calibri"/>
        <family val="2"/>
        <charset val="238"/>
        <scheme val="minor"/>
      </rPr>
      <t xml:space="preserve"> (ATEX/IECEx)</t>
    </r>
  </si>
  <si>
    <t>2</t>
  </si>
  <si>
    <t>5</t>
  </si>
  <si>
    <t>4</t>
  </si>
  <si>
    <t>Teplotní třída pro 2G (plyny)</t>
  </si>
  <si>
    <t>Povrchová teplota pro 2D (prach)</t>
  </si>
  <si>
    <t>-20 °C</t>
  </si>
  <si>
    <t>Přípustná
minim. teplota měřeného média</t>
  </si>
  <si>
    <t>Podmínka</t>
  </si>
  <si>
    <r>
      <t xml:space="preserve">Výstelka </t>
    </r>
    <r>
      <rPr>
        <b/>
        <sz val="11"/>
        <color theme="1"/>
        <rFont val="Calibri"/>
        <family val="2"/>
        <charset val="238"/>
        <scheme val="minor"/>
      </rPr>
      <t>NG</t>
    </r>
  </si>
  <si>
    <t>+5 °C</t>
  </si>
  <si>
    <t>-35 °C</t>
  </si>
  <si>
    <t>Ostatní výstelky a materiály čidel</t>
  </si>
  <si>
    <r>
      <t xml:space="preserve">Čidlo </t>
    </r>
    <r>
      <rPr>
        <b/>
        <sz val="11"/>
        <color theme="1"/>
        <rFont val="Calibri"/>
        <family val="2"/>
        <charset val="238"/>
        <scheme val="minor"/>
      </rPr>
      <t>celonerez</t>
    </r>
    <r>
      <rPr>
        <sz val="11"/>
        <color theme="1"/>
        <rFont val="Calibri"/>
        <family val="2"/>
        <charset val="238"/>
        <scheme val="minor"/>
      </rPr>
      <t xml:space="preserve"> + výstelka mimo NG</t>
    </r>
  </si>
  <si>
    <t>Provozní teplota měřeného média</t>
  </si>
  <si>
    <t>Zóna 1 nebo 2</t>
  </si>
  <si>
    <t>Zóna 21 nebo 22</t>
  </si>
  <si>
    <t>Teplotní třída pro 2G / Povrchová teplota pro 2D</t>
  </si>
  <si>
    <t>Standardní  (odpovídá tabulce na listu Teploty)</t>
  </si>
  <si>
    <r>
      <rPr>
        <sz val="11"/>
        <color theme="0" tint="-0.499984740745262"/>
        <rFont val="Calibri"/>
        <family val="2"/>
        <charset val="238"/>
        <scheme val="minor"/>
      </rPr>
      <t>Jmenovitý tlak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ASME</t>
    </r>
  </si>
  <si>
    <r>
      <rPr>
        <sz val="11"/>
        <color theme="0" tint="-0.499984740745262"/>
        <rFont val="Calibri"/>
        <family val="2"/>
        <charset val="238"/>
        <scheme val="minor"/>
      </rPr>
      <t xml:space="preserve">Jmenovitý tlak  </t>
    </r>
    <r>
      <rPr>
        <b/>
        <sz val="11"/>
        <rFont val="Calibri"/>
        <family val="2"/>
        <charset val="238"/>
        <scheme val="minor"/>
      </rPr>
      <t>EN</t>
    </r>
  </si>
  <si>
    <r>
      <t xml:space="preserve">155 </t>
    </r>
    <r>
      <rPr>
        <sz val="11"/>
        <color theme="1"/>
        <rFont val="Calibri"/>
        <family val="2"/>
        <charset val="238"/>
      </rPr>
      <t>°C</t>
    </r>
  </si>
  <si>
    <r>
      <t xml:space="preserve">130 </t>
    </r>
    <r>
      <rPr>
        <sz val="11"/>
        <color theme="1"/>
        <rFont val="Calibri"/>
        <family val="2"/>
        <charset val="238"/>
      </rPr>
      <t>°C</t>
    </r>
  </si>
  <si>
    <r>
      <t xml:space="preserve">95 </t>
    </r>
    <r>
      <rPr>
        <sz val="11"/>
        <color theme="1"/>
        <rFont val="Calibri"/>
        <family val="2"/>
        <charset val="238"/>
      </rPr>
      <t>°C</t>
    </r>
  </si>
  <si>
    <r>
      <t xml:space="preserve">80 </t>
    </r>
    <r>
      <rPr>
        <sz val="11"/>
        <color theme="1"/>
        <rFont val="Calibri"/>
        <family val="2"/>
        <charset val="238"/>
      </rPr>
      <t>°C</t>
    </r>
  </si>
  <si>
    <r>
      <t xml:space="preserve">Teplotní třída </t>
    </r>
    <r>
      <rPr>
        <b/>
        <sz val="11"/>
        <rFont val="Calibri"/>
        <family val="2"/>
        <charset val="238"/>
        <scheme val="minor"/>
      </rPr>
      <t>pro 2G</t>
    </r>
  </si>
  <si>
    <r>
      <t xml:space="preserve">Povrchová teplota </t>
    </r>
    <r>
      <rPr>
        <b/>
        <sz val="11"/>
        <rFont val="Calibri"/>
        <family val="2"/>
        <charset val="238"/>
        <scheme val="minor"/>
      </rPr>
      <t>pro 2D</t>
    </r>
  </si>
  <si>
    <t>Krytí čidla a skříňky elektroniky</t>
  </si>
  <si>
    <t>Měřená kapalina</t>
  </si>
  <si>
    <t xml:space="preserve">Zobrazované jednotky objemu </t>
  </si>
  <si>
    <t xml:space="preserve">Zobrazované jednotky průtoku </t>
  </si>
  <si>
    <t>Zobrazované jednotky objemu</t>
  </si>
  <si>
    <t>Zobrazované jednotky průtoku</t>
  </si>
  <si>
    <r>
      <t>Standardní průtok Q</t>
    </r>
    <r>
      <rPr>
        <sz val="11"/>
        <rFont val="Calibri"/>
        <family val="2"/>
        <charset val="238"/>
      </rPr>
      <t>₃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</si>
  <si>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>Q₃ = Q pro v = 8 m/s</t>
    </r>
  </si>
  <si>
    <t>20 m</t>
  </si>
  <si>
    <t>30 m</t>
  </si>
  <si>
    <t>40 m</t>
  </si>
  <si>
    <t>50 m</t>
  </si>
  <si>
    <t>100 m</t>
  </si>
  <si>
    <t>Jednotky impulzního čísla</t>
  </si>
  <si>
    <t>Žádná jednotka (impulzní číslo není požadováno)</t>
  </si>
  <si>
    <t>l/imp (standardně)</t>
  </si>
  <si>
    <t>hl/imp</t>
  </si>
  <si>
    <t>milion l/imp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</si>
  <si>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/imp</t>
    </r>
  </si>
  <si>
    <t>US liquid gal/imp</t>
  </si>
  <si>
    <t>milion US liquid gal/imp</t>
  </si>
  <si>
    <t>Imp gal/imp</t>
  </si>
  <si>
    <t>bbl/imp</t>
  </si>
  <si>
    <t>bblLiq/imp</t>
  </si>
  <si>
    <t>bush US/imp</t>
  </si>
  <si>
    <t>in³/imp</t>
  </si>
  <si>
    <t>ft³/imp</t>
  </si>
  <si>
    <t>yd³/imp</t>
  </si>
  <si>
    <t>milion l</t>
  </si>
  <si>
    <t>milion US liquid gal</t>
  </si>
  <si>
    <t>50 % Q₁ (standardně)</t>
  </si>
  <si>
    <r>
      <t>35 % Q</t>
    </r>
    <r>
      <rPr>
        <sz val="11"/>
        <color theme="1"/>
        <rFont val="Calibri"/>
        <family val="2"/>
        <charset val="238"/>
      </rPr>
      <t>₁</t>
    </r>
  </si>
  <si>
    <t>Budicí proud</t>
  </si>
  <si>
    <t>Frekvenční pro |Q|  0 ÷ 10 kHz   (standardně)</t>
  </si>
  <si>
    <t>Frekvenční pro Q+   0 ÷ 1 kHz</t>
  </si>
  <si>
    <t>Frekvenční pro Q+   0 ÷ 10 kHz</t>
  </si>
  <si>
    <t>Frekvenční pro Q-   0 ÷ 10 kHz</t>
  </si>
  <si>
    <t>Frekvenční pro Q-   0 ÷ 1 kHz</t>
  </si>
  <si>
    <t>Frekvenční pro |Q|  0 ÷ 1 kHz</t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</si>
  <si>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Standardní šířka pulzu a impulzní číslo, viz list "Impulzní čísla"</t>
    </r>
  </si>
  <si>
    <t>Pulzní pro Q+</t>
  </si>
  <si>
    <r>
      <t>Pulzní pro Q</t>
    </r>
    <r>
      <rPr>
        <sz val="14"/>
        <rFont val="Calibri"/>
        <family val="2"/>
        <charset val="238"/>
        <scheme val="minor"/>
      </rPr>
      <t xml:space="preserve">- </t>
    </r>
  </si>
  <si>
    <t xml:space="preserve">Pulzní pro |Q| </t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</si>
  <si>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0 ÷ Q₃  (Q₃ = Q pro v = 8 m/s)</t>
    </r>
  </si>
  <si>
    <t>Po této volbě aut. hlášení "Nastavení podle tabulky na listu Impulzní čísla"</t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</si>
  <si>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Qmezní = Q₃  -  sepne, je-li Q &gt; Qmezní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</si>
  <si>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Qmezní = Q₃  -  sepne, je-li |Q| &gt; Qmezní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</si>
  <si>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Je sepnuto, pokud na průtokoměru není závada.</t>
    </r>
  </si>
  <si>
    <r>
      <t>Indikace mezního průtoku Q &gt; Q</t>
    </r>
    <r>
      <rPr>
        <vertAlign val="subscript"/>
        <sz val="11"/>
        <rFont val="Calibri"/>
        <family val="2"/>
        <charset val="238"/>
        <scheme val="minor"/>
      </rPr>
      <t>mezní</t>
    </r>
  </si>
  <si>
    <r>
      <t>Indikace mezního průtoku |Q| &gt; Q</t>
    </r>
    <r>
      <rPr>
        <vertAlign val="subscript"/>
        <sz val="11"/>
        <rFont val="Calibri"/>
        <family val="2"/>
        <charset val="238"/>
        <scheme val="minor"/>
      </rPr>
      <t>mezní</t>
    </r>
  </si>
  <si>
    <t>Indikace stavu bez závady</t>
  </si>
  <si>
    <t>Provedení štítku (ATEX/IECEx)</t>
  </si>
  <si>
    <t>ATEX</t>
  </si>
  <si>
    <t>IECEx</t>
  </si>
  <si>
    <t xml:space="preserve">Oddělené </t>
  </si>
  <si>
    <r>
      <t xml:space="preserve">Kompaktní
</t>
    </r>
    <r>
      <rPr>
        <i/>
        <sz val="9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
oddělené </t>
    </r>
  </si>
  <si>
    <t>Přípustné provedení průtokoměru</t>
  </si>
  <si>
    <t>Certifikace</t>
  </si>
  <si>
    <t>Dimenze čidla (EN / ASME)</t>
  </si>
  <si>
    <t>Zóna (ATEX-IECEx)</t>
  </si>
  <si>
    <t>Přípustná Teplotní třída (Povrchová teplota)</t>
  </si>
  <si>
    <t>Všechny třídy a teploty</t>
  </si>
  <si>
    <r>
      <t xml:space="preserve">T6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charset val="238"/>
        <scheme val="minor"/>
      </rPr>
      <t>80 °C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</si>
  <si>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sz val="10"/>
        <color theme="1"/>
        <rFont val="Calibri"/>
        <family val="2"/>
        <charset val="238"/>
        <scheme val="minor"/>
      </rPr>
      <t xml:space="preserve">Všechny třídy a teploty </t>
    </r>
    <r>
      <rPr>
        <b/>
        <sz val="10"/>
        <color theme="1"/>
        <rFont val="Calibri"/>
        <family val="2"/>
        <charset val="238"/>
        <scheme val="minor"/>
      </rPr>
      <t>mimo</t>
    </r>
    <r>
      <rPr>
        <b/>
        <sz val="11"/>
        <color theme="1"/>
        <rFont val="Calibri"/>
        <family val="2"/>
        <charset val="238"/>
        <scheme val="minor"/>
      </rPr>
      <t xml:space="preserve"> T3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charset val="238"/>
        <scheme val="minor"/>
      </rPr>
      <t>155 °C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</si>
  <si>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Bezpřírubové 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i/>
        <sz val="10"/>
        <color rgb="FFC00000"/>
        <rFont val="Calibri"/>
        <family val="2"/>
        <charset val="238"/>
        <scheme val="minor"/>
      </rPr>
      <t>(Není certifikováno = nenabízí se!)</t>
    </r>
  </si>
  <si>
    <t>Es90150F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</si>
</sst>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\.\ mmmm\ yyyy;@"/>
    <numFmt numFmtId="165" formatCode="000"/>
    <numFmt numFmtId="166" formatCode="0.000"/>
    <numFmt numFmtId="167" formatCode="0.0"/>
  </numFmts>
  <fonts count="7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vertAlign val="subscript"/>
      <sz val="11"/>
      <color theme="1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4659260841701"/>
      <name val="Calibri"/>
      <family val="2"/>
      <charset val="238"/>
      <scheme val="minor"/>
    </font>
    <font>
      <sz val="16"/>
      <color rgb="FF990033"/>
      <name val="Calibri"/>
      <family val="2"/>
      <charset val="238"/>
      <scheme val="minor"/>
    </font>
    <font>
      <i/>
      <sz val="9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CCFF99"/>
        <bgColor indexed="64"/>
      </patternFill>
    </fill>
    <fill>
      <patternFill patternType="solid">
        <fgColor rgb="FFFEE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>
        <stop position="0">
          <color theme="7" tint="0.80001220740379042"/>
        </stop>
        <stop position="1">
          <color theme="4" tint="0.80001220740379042"/>
        </stop>
      </gradient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ashed">
        <color rgb="FFC0000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22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36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7" fillId="0" borderId="9" xfId="0" applyNumberFormat="1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>
      <alignment vertical="center"/>
    </xf>
    <xf numFmtId="0" fontId="13" fillId="9" borderId="15" xfId="0" applyFont="1" applyFill="1" applyBorder="1" applyAlignment="1" applyProtection="1">
      <alignment vertical="center"/>
      <protection hidden="1"/>
    </xf>
    <xf numFmtId="0" fontId="20" fillId="0" borderId="29" xfId="0" applyFont="1" applyBorder="1" applyProtection="1">
      <protection hidden="1"/>
    </xf>
    <xf numFmtId="0" fontId="20" fillId="0" borderId="30" xfId="0" applyFont="1" applyBorder="1" applyProtection="1">
      <protection hidden="1"/>
    </xf>
    <xf numFmtId="0" fontId="20" fillId="0" borderId="28" xfId="0" applyFont="1" applyBorder="1" applyAlignment="1" applyProtection="1">
      <alignment wrapText="1"/>
      <protection hidden="1"/>
    </xf>
    <xf numFmtId="0" fontId="40" fillId="0" borderId="5" xfId="0" applyFont="1" applyBorder="1" applyAlignment="1" applyProtection="1">
      <alignment vertical="center" wrapText="1"/>
      <protection locked="0"/>
    </xf>
    <xf numFmtId="0" fontId="28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4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48" fillId="0" borderId="0" xfId="0" applyFont="1"/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0" fillId="2" borderId="31" xfId="0" applyNumberFormat="1" applyFill="1" applyBorder="1" applyAlignment="1">
      <alignment vertical="center" wrapText="1"/>
    </xf>
    <xf numFmtId="0" fontId="31" fillId="9" borderId="15" xfId="0" applyFont="1" applyFill="1" applyBorder="1" applyAlignment="1" applyProtection="1">
      <alignment vertical="center"/>
      <protection locked="0" hidden="1"/>
    </xf>
    <xf numFmtId="0" fontId="56" fillId="3" borderId="37" xfId="0" applyFont="1" applyFill="1" applyBorder="1" applyAlignment="1">
      <alignment horizontal="center" vertical="center" wrapText="1"/>
    </xf>
    <xf numFmtId="0" fontId="62" fillId="3" borderId="41" xfId="0" applyFont="1" applyFill="1" applyBorder="1" applyAlignment="1">
      <alignment horizontal="center" vertical="center" wrapText="1"/>
    </xf>
    <xf numFmtId="0" fontId="57" fillId="3" borderId="36" xfId="0" applyFont="1" applyFill="1" applyBorder="1" applyAlignment="1">
      <alignment horizontal="center" vertical="center" wrapText="1"/>
    </xf>
    <xf numFmtId="3" fontId="57" fillId="3" borderId="36" xfId="0" applyNumberFormat="1" applyFont="1" applyFill="1" applyBorder="1" applyAlignment="1">
      <alignment horizontal="center" vertical="center" wrapText="1"/>
    </xf>
    <xf numFmtId="0" fontId="62" fillId="3" borderId="43" xfId="0" applyFont="1" applyFill="1" applyBorder="1" applyAlignment="1">
      <alignment horizontal="center" vertical="center" wrapText="1"/>
    </xf>
    <xf numFmtId="0" fontId="53" fillId="3" borderId="58" xfId="0" applyFont="1" applyFill="1" applyBorder="1" applyAlignment="1">
      <alignment horizontal="centerContinuous" wrapText="1"/>
    </xf>
    <xf numFmtId="0" fontId="53" fillId="3" borderId="59" xfId="0" applyFont="1" applyFill="1" applyBorder="1" applyAlignment="1">
      <alignment horizontal="centerContinuous" vertical="top" wrapText="1"/>
    </xf>
    <xf numFmtId="0" fontId="53" fillId="3" borderId="60" xfId="0" applyFont="1" applyFill="1" applyBorder="1" applyAlignment="1">
      <alignment horizontal="centerContinuous" vertical="top" wrapText="1"/>
    </xf>
    <xf numFmtId="0" fontId="53" fillId="3" borderId="49" xfId="0" applyFont="1" applyFill="1" applyBorder="1" applyAlignment="1">
      <alignment horizontal="center" wrapText="1"/>
    </xf>
    <xf numFmtId="0" fontId="53" fillId="3" borderId="50" xfId="0" applyFont="1" applyFill="1" applyBorder="1" applyAlignment="1">
      <alignment horizontal="center" wrapText="1"/>
    </xf>
    <xf numFmtId="0" fontId="53" fillId="3" borderId="51" xfId="0" applyFont="1" applyFill="1" applyBorder="1" applyAlignment="1">
      <alignment horizontal="center" wrapText="1"/>
    </xf>
    <xf numFmtId="0" fontId="53" fillId="3" borderId="55" xfId="0" applyFont="1" applyFill="1" applyBorder="1" applyAlignment="1">
      <alignment horizontal="center" vertical="top" wrapText="1"/>
    </xf>
    <xf numFmtId="0" fontId="53" fillId="3" borderId="56" xfId="0" applyFont="1" applyFill="1" applyBorder="1" applyAlignment="1">
      <alignment horizontal="center" vertical="top" wrapText="1"/>
    </xf>
    <xf numFmtId="0" fontId="53" fillId="3" borderId="57" xfId="0" applyFont="1" applyFill="1" applyBorder="1" applyAlignment="1">
      <alignment horizontal="center" vertical="top" wrapText="1"/>
    </xf>
    <xf numFmtId="0" fontId="54" fillId="3" borderId="61" xfId="0" applyFont="1" applyFill="1" applyBorder="1" applyAlignment="1">
      <alignment horizontal="center" wrapText="1"/>
    </xf>
    <xf numFmtId="0" fontId="54" fillId="3" borderId="62" xfId="0" applyFont="1" applyFill="1" applyBorder="1" applyAlignment="1">
      <alignment horizontal="center" wrapText="1"/>
    </xf>
    <xf numFmtId="0" fontId="54" fillId="3" borderId="63" xfId="0" applyFont="1" applyFill="1" applyBorder="1" applyAlignment="1">
      <alignment horizontal="center" wrapText="1"/>
    </xf>
    <xf numFmtId="0" fontId="55" fillId="3" borderId="52" xfId="0" applyFont="1" applyFill="1" applyBorder="1" applyAlignment="1">
      <alignment horizontal="center" vertical="top" wrapText="1"/>
    </xf>
    <xf numFmtId="0" fontId="55" fillId="3" borderId="53" xfId="0" applyFont="1" applyFill="1" applyBorder="1" applyAlignment="1">
      <alignment horizontal="center" vertical="top" wrapText="1"/>
    </xf>
    <xf numFmtId="0" fontId="55" fillId="3" borderId="54" xfId="0" applyFont="1" applyFill="1" applyBorder="1" applyAlignment="1">
      <alignment horizontal="center" vertical="top" wrapText="1"/>
    </xf>
    <xf numFmtId="0" fontId="57" fillId="3" borderId="37" xfId="0" applyFont="1" applyFill="1" applyBorder="1" applyAlignment="1">
      <alignment horizontal="center" vertical="center" wrapText="1"/>
    </xf>
    <xf numFmtId="0" fontId="53" fillId="11" borderId="58" xfId="0" applyFont="1" applyFill="1" applyBorder="1" applyAlignment="1">
      <alignment horizontal="centerContinuous" wrapText="1"/>
    </xf>
    <xf numFmtId="0" fontId="53" fillId="11" borderId="59" xfId="0" applyFont="1" applyFill="1" applyBorder="1" applyAlignment="1">
      <alignment horizontal="centerContinuous" vertical="top" wrapText="1"/>
    </xf>
    <xf numFmtId="0" fontId="53" fillId="11" borderId="60" xfId="0" applyFont="1" applyFill="1" applyBorder="1" applyAlignment="1">
      <alignment horizontal="centerContinuous" vertical="top" wrapText="1"/>
    </xf>
    <xf numFmtId="0" fontId="50" fillId="0" borderId="36" xfId="0" applyFont="1" applyBorder="1" applyAlignment="1">
      <alignment horizontal="right" vertical="center" wrapText="1" indent="1"/>
    </xf>
    <xf numFmtId="0" fontId="50" fillId="11" borderId="36" xfId="0" applyFont="1" applyFill="1" applyBorder="1" applyAlignment="1">
      <alignment horizontal="right" vertical="center" wrapText="1" indent="1"/>
    </xf>
    <xf numFmtId="0" fontId="62" fillId="3" borderId="33" xfId="0" applyFont="1" applyFill="1" applyBorder="1" applyAlignment="1">
      <alignment horizontal="right" vertical="center" wrapText="1" indent="1"/>
    </xf>
    <xf numFmtId="4" fontId="56" fillId="3" borderId="32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>
      <alignment vertical="center"/>
    </xf>
    <xf numFmtId="166" fontId="56" fillId="3" borderId="37" xfId="0" applyNumberFormat="1" applyFont="1" applyFill="1" applyBorder="1" applyAlignment="1">
      <alignment horizontal="center" vertical="center" wrapText="1"/>
    </xf>
    <xf numFmtId="2" fontId="56" fillId="3" borderId="37" xfId="0" applyNumberFormat="1" applyFont="1" applyFill="1" applyBorder="1" applyAlignment="1">
      <alignment horizontal="center" vertical="center" wrapText="1"/>
    </xf>
    <xf numFmtId="167" fontId="56" fillId="3" borderId="3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6" fillId="13" borderId="0" xfId="0" applyFont="1" applyFill="1" applyAlignment="1">
      <alignment horizontal="center"/>
    </xf>
    <xf numFmtId="49" fontId="44" fillId="0" borderId="0" xfId="0" applyNumberFormat="1" applyFont="1" applyAlignment="1">
      <alignment vertical="center"/>
    </xf>
    <xf numFmtId="0" fontId="1" fillId="15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18" xfId="0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left" vertical="center" indent="1"/>
    </xf>
    <xf numFmtId="0" fontId="0" fillId="16" borderId="2" xfId="0" applyFill="1" applyBorder="1" applyAlignment="1">
      <alignment vertical="center"/>
    </xf>
    <xf numFmtId="0" fontId="2" fillId="16" borderId="3" xfId="0" applyFont="1" applyFill="1" applyBorder="1" applyAlignment="1">
      <alignment horizontal="center" vertical="center"/>
    </xf>
    <xf numFmtId="0" fontId="29" fillId="16" borderId="0" xfId="0" applyFont="1" applyFill="1" applyAlignment="1" applyProtection="1">
      <alignment horizontal="center" vertical="center" wrapText="1"/>
      <protection hidden="1"/>
    </xf>
    <xf numFmtId="0" fontId="19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left" vertical="center"/>
    </xf>
    <xf numFmtId="49" fontId="67" fillId="16" borderId="3" xfId="0" applyNumberFormat="1" applyFont="1" applyFill="1" applyBorder="1" applyAlignment="1" applyProtection="1">
      <alignment horizontal="center" vertical="center" wrapText="1"/>
      <protection hidden="1"/>
    </xf>
    <xf numFmtId="0" fontId="41" fillId="14" borderId="26" xfId="0" applyFont="1" applyFill="1" applyBorder="1" applyAlignment="1" applyProtection="1">
      <alignment horizontal="center" vertical="center" wrapText="1"/>
      <protection hidden="1"/>
    </xf>
    <xf numFmtId="0" fontId="43" fillId="17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29" fillId="19" borderId="0" xfId="0" applyFont="1" applyFill="1" applyAlignment="1" applyProtection="1">
      <alignment horizontal="center" vertical="center" wrapText="1"/>
      <protection hidden="1"/>
    </xf>
    <xf numFmtId="0" fontId="20" fillId="20" borderId="0" xfId="0" applyFont="1" applyFill="1" applyAlignment="1" applyProtection="1">
      <alignment horizontal="center" vertical="center"/>
      <protection hidden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29" fillId="14" borderId="0" xfId="0" applyFont="1" applyFill="1" applyAlignment="1" applyProtection="1">
      <alignment horizontal="center" vertical="center" wrapText="1"/>
      <protection hidden="1"/>
    </xf>
    <xf numFmtId="0" fontId="20" fillId="14" borderId="0" xfId="0" applyFont="1" applyFill="1" applyAlignment="1" applyProtection="1">
      <alignment horizontal="center" vertical="center"/>
      <protection hidden="1"/>
    </xf>
    <xf numFmtId="0" fontId="0" fillId="14" borderId="18" xfId="0" applyFill="1" applyBorder="1" applyAlignment="1">
      <alignment vertical="center"/>
    </xf>
    <xf numFmtId="0" fontId="27" fillId="14" borderId="0" xfId="0" applyFont="1" applyFill="1" applyAlignment="1">
      <alignment vertical="center"/>
    </xf>
    <xf numFmtId="0" fontId="0" fillId="14" borderId="0" xfId="0" applyFill="1"/>
    <xf numFmtId="0" fontId="2" fillId="14" borderId="0" xfId="0" applyFont="1" applyFill="1" applyAlignment="1">
      <alignment vertical="center"/>
    </xf>
    <xf numFmtId="0" fontId="2" fillId="14" borderId="20" xfId="0" applyFont="1" applyFill="1" applyBorder="1" applyAlignment="1">
      <alignment vertical="center"/>
    </xf>
    <xf numFmtId="0" fontId="2" fillId="14" borderId="0" xfId="0" applyFont="1" applyFill="1" applyAlignment="1">
      <alignment horizontal="right" vertical="center" indent="1"/>
    </xf>
    <xf numFmtId="0" fontId="0" fillId="14" borderId="0" xfId="0" applyFill="1" applyAlignment="1">
      <alignment horizontal="right" vertical="center" indent="1"/>
    </xf>
    <xf numFmtId="0" fontId="5" fillId="14" borderId="0" xfId="0" applyFont="1" applyFill="1" applyAlignment="1" applyProtection="1">
      <alignment horizontal="center" vertical="center"/>
      <protection hidden="1"/>
    </xf>
    <xf numFmtId="0" fontId="38" fillId="14" borderId="0" xfId="0" applyFont="1" applyFill="1" applyAlignment="1">
      <alignment horizontal="right" vertical="center" indent="1"/>
    </xf>
    <xf numFmtId="0" fontId="13" fillId="14" borderId="0" xfId="0" applyFont="1" applyFill="1" applyAlignment="1">
      <alignment horizontal="right" vertical="center" indent="1"/>
    </xf>
    <xf numFmtId="0" fontId="13" fillId="10" borderId="64" xfId="0" applyFont="1" applyFill="1" applyBorder="1" applyAlignment="1">
      <alignment horizontal="right" vertical="center" indent="1"/>
    </xf>
    <xf numFmtId="0" fontId="5" fillId="14" borderId="64" xfId="0" applyFont="1" applyFill="1" applyBorder="1" applyAlignment="1" applyProtection="1">
      <alignment horizontal="center" vertical="center"/>
      <protection hidden="1"/>
    </xf>
    <xf numFmtId="0" fontId="2" fillId="14" borderId="64" xfId="0" applyFont="1" applyFill="1" applyBorder="1" applyAlignment="1">
      <alignment vertical="center"/>
    </xf>
    <xf numFmtId="0" fontId="39" fillId="14" borderId="20" xfId="0" applyFont="1" applyFill="1" applyBorder="1" applyAlignment="1">
      <alignment horizontal="right" vertical="top"/>
    </xf>
    <xf numFmtId="0" fontId="0" fillId="14" borderId="20" xfId="0" applyFill="1" applyBorder="1" applyAlignment="1">
      <alignment vertical="center"/>
    </xf>
    <xf numFmtId="0" fontId="2" fillId="14" borderId="9" xfId="0" applyFont="1" applyFill="1" applyBorder="1" applyAlignment="1">
      <alignment vertical="center"/>
    </xf>
    <xf numFmtId="0" fontId="0" fillId="14" borderId="8" xfId="0" applyFill="1" applyBorder="1" applyAlignment="1">
      <alignment horizontal="right" vertical="center" indent="1"/>
    </xf>
    <xf numFmtId="0" fontId="1" fillId="14" borderId="27" xfId="0" applyFont="1" applyFill="1" applyBorder="1" applyAlignment="1">
      <alignment vertical="center" wrapText="1"/>
    </xf>
    <xf numFmtId="0" fontId="0" fillId="14" borderId="15" xfId="0" applyFill="1" applyBorder="1" applyAlignment="1">
      <alignment vertical="center"/>
    </xf>
    <xf numFmtId="0" fontId="0" fillId="14" borderId="19" xfId="0" applyFill="1" applyBorder="1" applyAlignment="1">
      <alignment vertical="center"/>
    </xf>
    <xf numFmtId="0" fontId="0" fillId="14" borderId="26" xfId="0" applyFill="1" applyBorder="1" applyAlignment="1">
      <alignment horizontal="right" vertical="center" indent="1"/>
    </xf>
    <xf numFmtId="0" fontId="9" fillId="14" borderId="21" xfId="0" applyFont="1" applyFill="1" applyBorder="1" applyAlignment="1">
      <alignment vertical="center"/>
    </xf>
    <xf numFmtId="0" fontId="9" fillId="14" borderId="16" xfId="0" applyFont="1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0" fontId="10" fillId="14" borderId="16" xfId="0" applyFont="1" applyFill="1" applyBorder="1" applyAlignment="1" applyProtection="1">
      <alignment vertical="center"/>
      <protection hidden="1"/>
    </xf>
    <xf numFmtId="0" fontId="35" fillId="14" borderId="17" xfId="0" applyFont="1" applyFill="1" applyBorder="1" applyAlignment="1">
      <alignment horizontal="right" vertical="center"/>
    </xf>
    <xf numFmtId="0" fontId="18" fillId="14" borderId="23" xfId="0" applyFont="1" applyFill="1" applyBorder="1" applyAlignment="1" applyProtection="1">
      <alignment vertical="center"/>
      <protection hidden="1"/>
    </xf>
    <xf numFmtId="0" fontId="0" fillId="14" borderId="0" xfId="0" applyFill="1" applyAlignment="1" applyProtection="1">
      <alignment vertical="center"/>
      <protection hidden="1"/>
    </xf>
    <xf numFmtId="0" fontId="18" fillId="14" borderId="22" xfId="0" applyFont="1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24" fillId="14" borderId="15" xfId="0" applyFont="1" applyFill="1" applyBorder="1" applyAlignment="1" applyProtection="1">
      <alignment horizontal="right" vertical="center"/>
      <protection hidden="1"/>
    </xf>
    <xf numFmtId="0" fontId="13" fillId="14" borderId="19" xfId="0" applyFont="1" applyFill="1" applyBorder="1" applyAlignment="1" applyProtection="1">
      <alignment horizontal="right" vertical="center"/>
      <protection hidden="1"/>
    </xf>
    <xf numFmtId="0" fontId="32" fillId="6" borderId="0" xfId="0" applyFont="1" applyFill="1" applyAlignment="1" applyProtection="1">
      <alignment horizontal="center" vertical="center" wrapText="1"/>
      <protection hidden="1"/>
    </xf>
    <xf numFmtId="0" fontId="19" fillId="14" borderId="13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center" indent="1"/>
    </xf>
    <xf numFmtId="0" fontId="21" fillId="14" borderId="8" xfId="0" applyFont="1" applyFill="1" applyBorder="1" applyAlignment="1">
      <alignment horizontal="left" vertical="center" wrapText="1"/>
    </xf>
    <xf numFmtId="49" fontId="18" fillId="14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4" borderId="8" xfId="0" applyFill="1" applyBorder="1" applyAlignment="1" applyProtection="1">
      <alignment horizontal="left" vertical="center" wrapText="1"/>
      <protection hidden="1"/>
    </xf>
    <xf numFmtId="0" fontId="2" fillId="14" borderId="14" xfId="0" applyFont="1" applyFill="1" applyBorder="1" applyAlignment="1">
      <alignment horizontal="center" vertical="center"/>
    </xf>
    <xf numFmtId="0" fontId="0" fillId="14" borderId="9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2" fillId="14" borderId="9" xfId="0" applyFont="1" applyFill="1" applyBorder="1" applyAlignment="1">
      <alignment horizontal="right" vertical="center" indent="1"/>
    </xf>
    <xf numFmtId="0" fontId="0" fillId="14" borderId="11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5" fillId="14" borderId="4" xfId="0" applyFont="1" applyFill="1" applyBorder="1" applyAlignment="1" applyProtection="1">
      <alignment horizontal="center" vertical="center"/>
      <protection hidden="1"/>
    </xf>
    <xf numFmtId="0" fontId="0" fillId="14" borderId="12" xfId="0" applyFill="1" applyBorder="1" applyAlignment="1">
      <alignment vertical="center"/>
    </xf>
    <xf numFmtId="0" fontId="32" fillId="14" borderId="0" xfId="0" applyFont="1" applyFill="1" applyAlignment="1" applyProtection="1">
      <alignment horizontal="center" vertical="center" wrapText="1"/>
      <protection hidden="1"/>
    </xf>
    <xf numFmtId="0" fontId="34" fillId="14" borderId="0" xfId="0" applyFont="1" applyFill="1" applyAlignment="1" applyProtection="1">
      <alignment horizontal="center" vertical="center" wrapText="1"/>
      <protection hidden="1"/>
    </xf>
    <xf numFmtId="0" fontId="32" fillId="14" borderId="64" xfId="0" applyFont="1" applyFill="1" applyBorder="1" applyAlignment="1" applyProtection="1">
      <alignment horizontal="center" vertical="center" wrapText="1"/>
      <protection hidden="1"/>
    </xf>
    <xf numFmtId="0" fontId="32" fillId="14" borderId="1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5" fillId="14" borderId="15" xfId="0" applyFont="1" applyFill="1" applyBorder="1" applyAlignment="1" applyProtection="1">
      <alignment horizontal="center" vertical="center"/>
      <protection hidden="1"/>
    </xf>
    <xf numFmtId="0" fontId="4" fillId="14" borderId="8" xfId="0" applyFont="1" applyFill="1" applyBorder="1" applyAlignment="1" applyProtection="1">
      <alignment horizontal="center" vertical="center"/>
      <protection hidden="1"/>
    </xf>
    <xf numFmtId="0" fontId="0" fillId="14" borderId="0" xfId="0" applyFill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20" fillId="16" borderId="0" xfId="0" applyFont="1" applyFill="1" applyAlignment="1" applyProtection="1">
      <alignment horizontal="center" vertical="center" wrapText="1"/>
      <protection hidden="1"/>
    </xf>
    <xf numFmtId="0" fontId="2" fillId="14" borderId="0" xfId="0" applyFont="1" applyFill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 wrapText="1"/>
      <protection hidden="1"/>
    </xf>
    <xf numFmtId="0" fontId="37" fillId="7" borderId="0" xfId="0" applyFont="1" applyFill="1" applyAlignment="1" applyProtection="1">
      <alignment horizontal="center" vertical="center" wrapText="1"/>
      <protection hidden="1"/>
    </xf>
    <xf numFmtId="0" fontId="34" fillId="14" borderId="6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14" borderId="16" xfId="0" applyFont="1" applyFill="1" applyBorder="1" applyAlignment="1" applyProtection="1">
      <alignment horizontal="center" vertical="center"/>
      <protection hidden="1"/>
    </xf>
    <xf numFmtId="0" fontId="23" fillId="14" borderId="0" xfId="0" applyFont="1" applyFill="1" applyAlignment="1" applyProtection="1">
      <alignment horizontal="center" vertical="center"/>
      <protection hidden="1"/>
    </xf>
    <xf numFmtId="0" fontId="0" fillId="14" borderId="8" xfId="0" applyFill="1" applyBorder="1" applyAlignment="1" applyProtection="1">
      <alignment horizontal="center" vertical="center" wrapText="1"/>
      <protection hidden="1"/>
    </xf>
    <xf numFmtId="0" fontId="0" fillId="14" borderId="0" xfId="0" applyFill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horizontal="center" vertical="center"/>
      <protection hidden="1"/>
    </xf>
    <xf numFmtId="0" fontId="29" fillId="14" borderId="16" xfId="0" applyFont="1" applyFill="1" applyBorder="1" applyAlignment="1" applyProtection="1">
      <alignment horizontal="left" vertical="center"/>
      <protection hidden="1"/>
    </xf>
    <xf numFmtId="0" fontId="29" fillId="14" borderId="0" xfId="0" applyFont="1" applyFill="1" applyAlignment="1" applyProtection="1">
      <alignment horizontal="left" vertical="center"/>
      <protection hidden="1"/>
    </xf>
    <xf numFmtId="0" fontId="2" fillId="14" borderId="0" xfId="0" applyFont="1" applyFill="1" applyAlignment="1">
      <alignment horizontal="left" vertical="center"/>
    </xf>
    <xf numFmtId="0" fontId="1" fillId="0" borderId="66" xfId="0" applyFont="1" applyBorder="1" applyAlignment="1" applyProtection="1">
      <alignment horizontal="left" vertical="center" wrapText="1"/>
      <protection locked="0"/>
    </xf>
    <xf numFmtId="0" fontId="1" fillId="14" borderId="65" xfId="0" applyFont="1" applyFill="1" applyBorder="1" applyAlignment="1" applyProtection="1">
      <alignment horizontal="left" vertical="center" wrapText="1"/>
      <protection hidden="1"/>
    </xf>
    <xf numFmtId="0" fontId="0" fillId="21" borderId="0" xfId="0" applyFill="1" applyAlignment="1">
      <alignment vertical="center"/>
    </xf>
    <xf numFmtId="0" fontId="13" fillId="21" borderId="0" xfId="0" applyFont="1" applyFill="1" applyAlignment="1">
      <alignment vertical="center"/>
    </xf>
    <xf numFmtId="0" fontId="37" fillId="14" borderId="0" xfId="0" applyFont="1" applyFill="1" applyAlignment="1">
      <alignment horizontal="right" vertical="center" indent="1"/>
    </xf>
    <xf numFmtId="0" fontId="70" fillId="0" borderId="0" xfId="0" applyFont="1" applyAlignment="1">
      <alignment vertical="center"/>
    </xf>
    <xf numFmtId="0" fontId="0" fillId="2" borderId="67" xfId="0" applyFill="1" applyBorder="1" applyAlignment="1">
      <alignment vertical="center" wrapText="1"/>
    </xf>
    <xf numFmtId="0" fontId="71" fillId="21" borderId="0" xfId="0" applyFont="1" applyFill="1" applyAlignment="1">
      <alignment vertical="center"/>
    </xf>
    <xf numFmtId="0" fontId="1" fillId="3" borderId="25" xfId="0" applyFont="1" applyFill="1" applyBorder="1" applyAlignment="1" applyProtection="1">
      <alignment horizontal="left" vertical="center" wrapText="1"/>
      <protection hidden="1"/>
    </xf>
    <xf numFmtId="0" fontId="46" fillId="3" borderId="67" xfId="0" applyFont="1" applyFill="1" applyBorder="1" applyAlignment="1">
      <alignment horizontal="center" vertical="center" wrapText="1"/>
    </xf>
    <xf numFmtId="0" fontId="46" fillId="3" borderId="73" xfId="0" applyFont="1" applyFill="1" applyBorder="1" applyAlignment="1">
      <alignment horizontal="center" vertical="center" wrapText="1"/>
    </xf>
    <xf numFmtId="0" fontId="73" fillId="3" borderId="67" xfId="0" applyFont="1" applyFill="1" applyBorder="1" applyAlignment="1">
      <alignment horizontal="right" vertical="center" indent="1"/>
    </xf>
    <xf numFmtId="0" fontId="73" fillId="3" borderId="73" xfId="0" applyFont="1" applyFill="1" applyBorder="1" applyAlignment="1">
      <alignment horizontal="right" vertical="center" indent="1"/>
    </xf>
    <xf numFmtId="0" fontId="74" fillId="0" borderId="72" xfId="0" applyFont="1" applyBorder="1" applyAlignment="1">
      <alignment horizontal="right" vertical="center" indent="3"/>
    </xf>
    <xf numFmtId="0" fontId="74" fillId="0" borderId="74" xfId="0" applyFont="1" applyBorder="1" applyAlignment="1">
      <alignment horizontal="right" vertical="center" indent="3"/>
    </xf>
    <xf numFmtId="0" fontId="73" fillId="3" borderId="69" xfId="0" applyFont="1" applyFill="1" applyBorder="1" applyAlignment="1">
      <alignment horizontal="right" vertical="center" indent="1"/>
    </xf>
    <xf numFmtId="0" fontId="74" fillId="0" borderId="70" xfId="0" applyFont="1" applyBorder="1" applyAlignment="1">
      <alignment horizontal="right" vertical="center" indent="3"/>
    </xf>
    <xf numFmtId="0" fontId="46" fillId="3" borderId="81" xfId="0" applyFont="1" applyFill="1" applyBorder="1" applyAlignment="1">
      <alignment horizontal="center" vertical="center"/>
    </xf>
    <xf numFmtId="0" fontId="74" fillId="3" borderId="77" xfId="0" applyFont="1" applyFill="1" applyBorder="1" applyAlignment="1">
      <alignment horizontal="center" vertical="center" wrapText="1"/>
    </xf>
    <xf numFmtId="0" fontId="74" fillId="3" borderId="80" xfId="0" applyFont="1" applyFill="1" applyBorder="1" applyAlignment="1">
      <alignment horizontal="center" vertical="center" wrapText="1"/>
    </xf>
    <xf numFmtId="0" fontId="3" fillId="0" borderId="0" xfId="0" applyFont="1"/>
    <xf numFmtId="0" fontId="2" fillId="22" borderId="0" xfId="0" applyFont="1" applyFill="1"/>
    <xf numFmtId="0" fontId="2" fillId="23" borderId="0" xfId="0" applyFont="1" applyFill="1"/>
    <xf numFmtId="0" fontId="74" fillId="3" borderId="86" xfId="0" applyFont="1" applyFill="1" applyBorder="1" applyAlignment="1">
      <alignment horizontal="centerContinuous" vertical="center" wrapText="1"/>
    </xf>
    <xf numFmtId="49" fontId="1" fillId="0" borderId="70" xfId="0" applyNumberFormat="1" applyFont="1" applyBorder="1" applyAlignment="1">
      <alignment horizontal="right" vertical="center"/>
    </xf>
    <xf numFmtId="49" fontId="1" fillId="0" borderId="72" xfId="0" applyNumberFormat="1" applyFont="1" applyBorder="1" applyAlignment="1">
      <alignment horizontal="right" vertical="center"/>
    </xf>
    <xf numFmtId="49" fontId="1" fillId="0" borderId="74" xfId="0" applyNumberFormat="1" applyFont="1" applyBorder="1" applyAlignment="1">
      <alignment horizontal="right" vertical="center"/>
    </xf>
    <xf numFmtId="49" fontId="0" fillId="22" borderId="0" xfId="0" applyNumberFormat="1" applyFill="1" applyAlignment="1">
      <alignment horizontal="center" vertical="center"/>
    </xf>
    <xf numFmtId="49" fontId="0" fillId="23" borderId="0" xfId="0" applyNumberFormat="1" applyFill="1" applyAlignment="1">
      <alignment horizontal="center" vertical="center"/>
    </xf>
    <xf numFmtId="0" fontId="0" fillId="3" borderId="90" xfId="0" applyFill="1" applyBorder="1" applyAlignment="1">
      <alignment vertical="center"/>
    </xf>
    <xf numFmtId="0" fontId="0" fillId="3" borderId="88" xfId="0" applyFill="1" applyBorder="1" applyAlignment="1">
      <alignment vertical="center"/>
    </xf>
    <xf numFmtId="0" fontId="0" fillId="3" borderId="9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0" fillId="3" borderId="89" xfId="0" applyFill="1" applyBorder="1" applyAlignment="1">
      <alignment vertical="center"/>
    </xf>
    <xf numFmtId="0" fontId="74" fillId="0" borderId="0" xfId="0" applyFont="1" applyAlignment="1">
      <alignment horizontal="center" vertical="center"/>
    </xf>
    <xf numFmtId="0" fontId="13" fillId="2" borderId="82" xfId="0" applyFont="1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0" fontId="42" fillId="0" borderId="81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75" fillId="0" borderId="81" xfId="0" applyFont="1" applyBorder="1" applyAlignment="1">
      <alignment horizontal="center" vertical="center"/>
    </xf>
    <xf numFmtId="0" fontId="75" fillId="0" borderId="82" xfId="0" applyFont="1" applyBorder="1" applyAlignment="1">
      <alignment horizontal="center" vertical="center"/>
    </xf>
    <xf numFmtId="0" fontId="74" fillId="11" borderId="83" xfId="0" applyFont="1" applyFill="1" applyBorder="1" applyAlignment="1">
      <alignment horizontal="center" vertical="center" wrapText="1"/>
    </xf>
    <xf numFmtId="0" fontId="74" fillId="11" borderId="87" xfId="0" applyFont="1" applyFill="1" applyBorder="1" applyAlignment="1">
      <alignment horizontal="center" vertical="center" wrapText="1"/>
    </xf>
    <xf numFmtId="0" fontId="62" fillId="3" borderId="34" xfId="0" applyFont="1" applyFill="1" applyBorder="1" applyAlignment="1">
      <alignment horizontal="right" vertical="center" wrapText="1" indent="1"/>
    </xf>
    <xf numFmtId="3" fontId="57" fillId="3" borderId="93" xfId="0" applyNumberFormat="1" applyFont="1" applyFill="1" applyBorder="1" applyAlignment="1">
      <alignment horizontal="center" vertical="center" wrapText="1"/>
    </xf>
    <xf numFmtId="167" fontId="56" fillId="3" borderId="94" xfId="0" applyNumberFormat="1" applyFont="1" applyFill="1" applyBorder="1" applyAlignment="1">
      <alignment horizontal="center" vertical="center" wrapText="1"/>
    </xf>
    <xf numFmtId="0" fontId="50" fillId="0" borderId="93" xfId="0" applyFont="1" applyBorder="1" applyAlignment="1">
      <alignment horizontal="right" vertical="center" wrapText="1" indent="1"/>
    </xf>
    <xf numFmtId="4" fontId="56" fillId="3" borderId="95" xfId="0" applyNumberFormat="1" applyFont="1" applyFill="1" applyBorder="1" applyAlignment="1">
      <alignment horizontal="center" vertical="center" wrapText="1"/>
    </xf>
    <xf numFmtId="0" fontId="57" fillId="3" borderId="94" xfId="0" applyFont="1" applyFill="1" applyBorder="1" applyAlignment="1">
      <alignment horizontal="center" vertical="center" wrapText="1"/>
    </xf>
    <xf numFmtId="0" fontId="50" fillId="11" borderId="93" xfId="0" applyFont="1" applyFill="1" applyBorder="1" applyAlignment="1">
      <alignment horizontal="right" vertical="center" wrapText="1" indent="1"/>
    </xf>
    <xf numFmtId="0" fontId="56" fillId="3" borderId="94" xfId="0" applyFont="1" applyFill="1" applyBorder="1" applyAlignment="1">
      <alignment horizontal="center" vertical="center" wrapText="1"/>
    </xf>
    <xf numFmtId="0" fontId="2" fillId="0" borderId="0" xfId="0" applyFont="1"/>
    <xf numFmtId="0" fontId="37" fillId="16" borderId="1" xfId="0" applyFont="1" applyFill="1" applyBorder="1" applyAlignment="1">
      <alignment horizontal="center" vertical="center"/>
    </xf>
    <xf numFmtId="0" fontId="37" fillId="14" borderId="8" xfId="0" applyFont="1" applyFill="1" applyBorder="1" applyAlignment="1">
      <alignment horizontal="right" vertical="center" indent="1"/>
    </xf>
    <xf numFmtId="0" fontId="37" fillId="14" borderId="26" xfId="0" applyFont="1" applyFill="1" applyBorder="1" applyAlignment="1">
      <alignment horizontal="right" vertical="center" indent="1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20" fillId="0" borderId="96" xfId="0" applyFont="1" applyBorder="1" applyAlignment="1" applyProtection="1">
      <alignment horizontal="center"/>
      <protection hidden="1"/>
    </xf>
    <xf numFmtId="0" fontId="20" fillId="0" borderId="96" xfId="0" applyFont="1" applyBorder="1" applyProtection="1">
      <protection hidden="1"/>
    </xf>
    <xf numFmtId="0" fontId="20" fillId="0" borderId="96" xfId="0" applyFont="1" applyBorder="1" applyAlignment="1" applyProtection="1">
      <alignment horizontal="left"/>
      <protection hidden="1"/>
    </xf>
    <xf numFmtId="0" fontId="2" fillId="0" borderId="96" xfId="0" applyFont="1" applyBorder="1" applyProtection="1">
      <protection hidden="1"/>
    </xf>
    <xf numFmtId="0" fontId="46" fillId="3" borderId="71" xfId="0" applyFont="1" applyFill="1" applyBorder="1" applyAlignment="1">
      <alignment horizontal="center" vertical="center" wrapText="1"/>
    </xf>
    <xf numFmtId="165" fontId="20" fillId="0" borderId="0" xfId="0" applyNumberFormat="1" applyFont="1" applyAlignment="1" applyProtection="1">
      <alignment horizontal="center"/>
      <protection hidden="1"/>
    </xf>
    <xf numFmtId="0" fontId="1" fillId="3" borderId="6" xfId="0" applyFont="1" applyFill="1" applyBorder="1" applyAlignment="1">
      <alignment vertical="center" wrapText="1"/>
    </xf>
    <xf numFmtId="0" fontId="2" fillId="24" borderId="0" xfId="0" applyFont="1" applyFill="1" applyAlignment="1">
      <alignment horizontal="center" vertical="center"/>
    </xf>
    <xf numFmtId="1" fontId="0" fillId="23" borderId="0" xfId="0" applyNumberFormat="1" applyFill="1" applyAlignment="1">
      <alignment horizontal="center" vertical="center"/>
    </xf>
    <xf numFmtId="0" fontId="1" fillId="23" borderId="0" xfId="0" applyFont="1" applyFill="1" applyAlignment="1">
      <alignment horizontal="center" vertical="center"/>
    </xf>
    <xf numFmtId="0" fontId="2" fillId="23" borderId="0" xfId="0" applyFont="1" applyFill="1" applyAlignment="1">
      <alignment horizontal="center" vertical="center"/>
    </xf>
    <xf numFmtId="1" fontId="0" fillId="22" borderId="0" xfId="0" applyNumberFormat="1" applyFill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0" fontId="37" fillId="7" borderId="0" xfId="0" applyFont="1" applyFill="1" applyAlignment="1" applyProtection="1">
      <alignment horizontal="left" vertical="center" wrapText="1"/>
      <protection hidden="1"/>
    </xf>
    <xf numFmtId="0" fontId="78" fillId="1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52" fillId="14" borderId="0" xfId="0" applyFont="1" applyFill="1" applyAlignment="1" applyProtection="1">
      <alignment horizontal="left" vertical="top" wrapText="1"/>
      <protection hidden="1"/>
    </xf>
    <xf numFmtId="0" fontId="52" fillId="3" borderId="0" xfId="0" applyFont="1" applyFill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74" fillId="3" borderId="68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74" fillId="3" borderId="69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6" fillId="3" borderId="69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74" fillId="3" borderId="71" xfId="0" applyFont="1" applyFill="1" applyBorder="1" applyAlignment="1">
      <alignment horizontal="center" vertical="center"/>
    </xf>
    <xf numFmtId="0" fontId="74" fillId="3" borderId="67" xfId="0" applyFont="1" applyFill="1" applyBorder="1" applyAlignment="1">
      <alignment horizontal="center" vertical="center"/>
    </xf>
    <xf numFmtId="0" fontId="46" fillId="3" borderId="67" xfId="0" applyFont="1" applyFill="1" applyBorder="1" applyAlignment="1">
      <alignment horizontal="center" vertical="center"/>
    </xf>
    <xf numFmtId="0" fontId="74" fillId="3" borderId="78" xfId="0" applyFont="1" applyFill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4" fillId="3" borderId="81" xfId="0" applyFont="1" applyFill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46" fillId="3" borderId="81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58" fillId="3" borderId="35" xfId="0" applyFont="1" applyFill="1" applyBorder="1" applyAlignment="1">
      <alignment horizontal="center" vertical="center" wrapText="1"/>
    </xf>
    <xf numFmtId="0" fontId="58" fillId="3" borderId="36" xfId="0" applyFont="1" applyFill="1" applyBorder="1" applyAlignment="1">
      <alignment horizontal="center" vertical="center" wrapText="1"/>
    </xf>
    <xf numFmtId="0" fontId="58" fillId="3" borderId="38" xfId="0" applyFont="1" applyFill="1" applyBorder="1" applyAlignment="1">
      <alignment horizontal="center" vertical="center" wrapText="1"/>
    </xf>
    <xf numFmtId="0" fontId="58" fillId="3" borderId="40" xfId="0" applyFont="1" applyFill="1" applyBorder="1" applyAlignment="1">
      <alignment horizontal="center" vertical="center" wrapText="1"/>
    </xf>
    <xf numFmtId="0" fontId="58" fillId="3" borderId="41" xfId="0" applyFont="1" applyFill="1" applyBorder="1" applyAlignment="1">
      <alignment horizontal="center" vertical="center" wrapText="1"/>
    </xf>
    <xf numFmtId="0" fontId="58" fillId="3" borderId="42" xfId="0" applyFont="1" applyFill="1" applyBorder="1" applyAlignment="1">
      <alignment horizontal="center" vertical="center" wrapText="1"/>
    </xf>
    <xf numFmtId="0" fontId="60" fillId="3" borderId="13" xfId="0" applyFont="1" applyFill="1" applyBorder="1" applyAlignment="1">
      <alignment horizontal="center" wrapText="1"/>
    </xf>
    <xf numFmtId="0" fontId="60" fillId="3" borderId="14" xfId="0" applyFont="1" applyFill="1" applyBorder="1" applyAlignment="1">
      <alignment horizontal="center" wrapText="1"/>
    </xf>
    <xf numFmtId="0" fontId="58" fillId="3" borderId="46" xfId="0" applyFont="1" applyFill="1" applyBorder="1" applyAlignment="1">
      <alignment horizontal="center" vertical="center" wrapText="1"/>
    </xf>
    <xf numFmtId="0" fontId="58" fillId="3" borderId="47" xfId="0" applyFont="1" applyFill="1" applyBorder="1" applyAlignment="1">
      <alignment horizontal="center" vertical="center" wrapText="1"/>
    </xf>
    <xf numFmtId="0" fontId="58" fillId="3" borderId="48" xfId="0" applyFont="1" applyFill="1" applyBorder="1" applyAlignment="1">
      <alignment horizontal="center" vertical="center" wrapText="1"/>
    </xf>
    <xf numFmtId="0" fontId="59" fillId="3" borderId="44" xfId="0" applyFont="1" applyFill="1" applyBorder="1" applyAlignment="1">
      <alignment horizontal="center" vertical="center" wrapText="1"/>
    </xf>
    <xf numFmtId="0" fontId="59" fillId="3" borderId="45" xfId="0" applyFont="1" applyFill="1" applyBorder="1" applyAlignment="1">
      <alignment horizontal="center" vertical="center" wrapText="1"/>
    </xf>
    <xf numFmtId="0" fontId="49" fillId="3" borderId="36" xfId="0" applyFont="1" applyFill="1" applyBorder="1" applyAlignment="1">
      <alignment horizontal="center" vertical="center" wrapText="1"/>
    </xf>
    <xf numFmtId="0" fontId="49" fillId="3" borderId="38" xfId="0" applyFont="1" applyFill="1" applyBorder="1" applyAlignment="1">
      <alignment horizontal="center" vertical="center" wrapText="1"/>
    </xf>
    <xf numFmtId="0" fontId="49" fillId="3" borderId="37" xfId="0" applyFont="1" applyFill="1" applyBorder="1" applyAlignment="1">
      <alignment horizontal="center" vertical="center" wrapText="1"/>
    </xf>
    <xf numFmtId="0" fontId="49" fillId="3" borderId="3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7">
    <dxf>
      <font>
        <b/>
        <i val="0"/>
        <strike val="0"/>
        <color rgb="FF339933"/>
      </font>
    </dxf>
    <dxf>
      <font>
        <strike val="0"/>
      </font>
      <fill>
        <gradientFill type="path" left="0.5" right="0.5" top="0.5" bottom="0.5">
          <stop position="0">
            <color theme="9" tint="0.80001220740379042"/>
          </stop>
          <stop position="1">
            <color theme="0" tint="-0.1490218817712943"/>
          </stop>
        </gradient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lor rgb="FFFF0000"/>
      </font>
    </dxf>
    <dxf>
      <font>
        <b val="0"/>
        <i val="0"/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0033CC"/>
      <color rgb="FF339933"/>
      <color rgb="FFCCFF33"/>
      <color rgb="FFCCFF99"/>
      <color rgb="FFFFFFCC"/>
      <color rgb="FF990033"/>
      <color rgb="FFFEE8E6"/>
      <color rgb="FF0000CC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3188871</xdr:colOff>
      <xdr:row>2</xdr:row>
      <xdr:rowOff>80209</xdr:rowOff>
    </xdr:from>
    <xdr:to>
      <xdr:col>4</xdr:col>
      <xdr:colOff>40086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A240D-3C93-4876-85FB-5DFCB40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6318" y="421104"/>
          <a:ext cx="159900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J69"/>
  <sheetViews>
    <sheetView showGridLines="0" tabSelected="1" zoomScaleNormal="100" workbookViewId="0">
      <pane ySplit="1" topLeftCell="A2" activePane="bottomLeft" state="frozen"/>
      <selection activeCell="C63" sqref="C63"/>
      <selection pane="bottomLeft" activeCell="D5" sqref="D5"/>
    </sheetView>
  </sheetViews>
  <sheetFormatPr defaultRowHeight="15" x14ac:dyDescent="0.25"/>
  <cols>
    <col min="1" max="1" width="0.42578125" style="1" customWidth="1"/>
    <col min="2" max="2" width="4.42578125" style="1" customWidth="1"/>
    <col min="3" max="3" width="37.7109375" style="1" customWidth="1"/>
    <col min="4" max="4" width="49.5703125" style="1" customWidth="1"/>
    <col min="5" max="5" width="8" style="3" customWidth="1"/>
    <col min="6" max="6" width="1" style="1" customWidth="1"/>
    <col min="7" max="7" width="21" style="172" customWidth="1"/>
    <col min="8" max="8" width="63.140625" style="172" customWidth="1"/>
    <col min="9" max="9" width="1" style="1" customWidth="1"/>
    <col min="10" max="10" width="1.140625" style="1" customWidth="1"/>
    <col min="11" max="16384" width="9.140625" style="1"/>
  </cols>
  <sheetData>
    <row r="1" spans="2:10" ht="27" customHeight="1" x14ac:dyDescent="0.25">
      <c r="B1" s="113" t="s">
        <v>265</v>
      </c>
      <c r="C1" s="114"/>
      <c r="D1" s="114"/>
      <c r="E1" s="101"/>
      <c r="F1" s="102"/>
      <c r="G1" s="115" t="s">
        <v>91</v>
      </c>
      <c r="H1" s="116" t="s">
        <v>92</v>
      </c>
      <c r="I1" s="103"/>
    </row>
    <row r="2" spans="2:10" ht="21" hidden="1" x14ac:dyDescent="0.25">
      <c r="B2" s="117"/>
      <c r="C2" s="118"/>
      <c r="D2" s="118"/>
      <c r="E2" s="119"/>
      <c r="F2" s="118"/>
      <c r="G2" s="120"/>
      <c r="H2" s="121"/>
      <c r="I2" s="122"/>
    </row>
    <row r="3" spans="2:10" ht="23.25" customHeight="1" thickBot="1" x14ac:dyDescent="0.3">
      <c r="B3" s="123" t="s">
        <v>163</v>
      </c>
      <c r="C3" s="124"/>
      <c r="D3" s="124"/>
      <c r="E3" s="123" t="s">
        <v>200</v>
      </c>
      <c r="F3" s="124"/>
      <c r="G3" s="190" t="s">
        <v>118</v>
      </c>
      <c r="H3" s="175"/>
      <c r="I3" s="122"/>
    </row>
    <row r="4" spans="2:10" ht="18.75" customHeight="1" thickBot="1" x14ac:dyDescent="0.3">
      <c r="B4" s="104" t="s">
        <v>42</v>
      </c>
      <c r="C4" s="105" t="s">
        <v>3</v>
      </c>
      <c r="D4" s="106"/>
      <c r="E4" s="107" t="s">
        <v>33</v>
      </c>
      <c r="F4" s="125"/>
      <c r="G4" s="108"/>
      <c r="H4" s="177"/>
      <c r="I4" s="126"/>
      <c r="J4" s="2"/>
    </row>
    <row r="5" spans="2:10" ht="15.75" thickBot="1" x14ac:dyDescent="0.3">
      <c r="B5" s="127">
        <v>5</v>
      </c>
      <c r="C5" s="128" t="s">
        <v>266</v>
      </c>
      <c r="D5" s="60"/>
      <c r="E5" s="129" t="str">
        <f>IF(D5="","",VLOOKUP(D5,OC_VE_kod,2,FALSE))</f>
        <v/>
      </c>
      <c r="F5" s="125"/>
      <c r="G5" s="168"/>
      <c r="H5" s="180" t="str">
        <f>IF(E5=1,"24 V ±20 % (19,2–28,8 V)",IF(E5=2,"95–250 V, 45–65 Hz",""))</f>
        <v/>
      </c>
      <c r="I5" s="126"/>
      <c r="J5" s="2"/>
    </row>
    <row r="6" spans="2:10" ht="15.75" thickBot="1" x14ac:dyDescent="0.3">
      <c r="B6" s="127">
        <v>6</v>
      </c>
      <c r="C6" s="128" t="s">
        <v>1</v>
      </c>
      <c r="D6" s="192" t="str">
        <f>IF(D5&lt;&gt;"","Přírubové","")</f>
        <v/>
      </c>
      <c r="E6" s="129" t="str">
        <f>IF(D5&lt;&gt;"",1,"")</f>
        <v/>
      </c>
      <c r="F6" s="125"/>
      <c r="G6" s="168"/>
      <c r="H6" s="178"/>
      <c r="I6" s="126"/>
      <c r="J6" s="2"/>
    </row>
    <row r="7" spans="2:10" ht="15.75" thickBot="1" x14ac:dyDescent="0.3">
      <c r="B7" s="127">
        <v>7</v>
      </c>
      <c r="C7" s="128" t="s">
        <v>119</v>
      </c>
      <c r="D7" s="191"/>
      <c r="E7" s="129" t="str">
        <f>IF(D$7=Data!A8,Data!B8,IF(D$7=Data!A9,Data!B9,""))</f>
        <v/>
      </c>
      <c r="F7" s="125"/>
      <c r="G7" s="168"/>
      <c r="H7" s="179" t="str">
        <f>IF(D18="","",IF(E7=4,IF(OR(E18=4,E18=8),"","Pro teplotu zadanou v ř. 18 nelze použít kompaktní provedení."),""))</f>
        <v/>
      </c>
      <c r="I7" s="126"/>
      <c r="J7" s="2"/>
    </row>
    <row r="8" spans="2:10" ht="16.5" thickBot="1" x14ac:dyDescent="0.3">
      <c r="B8" s="109" t="s">
        <v>75</v>
      </c>
      <c r="C8" s="105" t="s">
        <v>2</v>
      </c>
      <c r="D8" s="263" t="s">
        <v>75</v>
      </c>
      <c r="E8" s="111" t="s">
        <v>0</v>
      </c>
      <c r="F8" s="125"/>
      <c r="G8" s="108"/>
      <c r="H8" s="177"/>
      <c r="I8" s="126"/>
      <c r="J8" s="2"/>
    </row>
    <row r="9" spans="2:10" ht="15.75" thickBot="1" x14ac:dyDescent="0.3">
      <c r="B9" s="195">
        <v>9</v>
      </c>
      <c r="C9" s="128" t="s">
        <v>416</v>
      </c>
      <c r="D9" s="8"/>
      <c r="E9" s="129" t="str">
        <f>IF(D9="","",VLOOKUP(D9,OC_Zon_kod,2,FALSE))</f>
        <v/>
      </c>
      <c r="F9" s="125"/>
      <c r="G9" s="168"/>
      <c r="H9" s="178"/>
      <c r="I9" s="126"/>
      <c r="J9" s="2"/>
    </row>
    <row r="10" spans="2:10" ht="15.75" thickBot="1" x14ac:dyDescent="0.3">
      <c r="B10" s="195">
        <v>10</v>
      </c>
      <c r="C10" s="128" t="s">
        <v>415</v>
      </c>
      <c r="D10" s="61"/>
      <c r="E10" s="129" t="str">
        <f>IF(D10="","",VLOOKUP(D10,OC_DC_kod,2,FALSE))</f>
        <v/>
      </c>
      <c r="F10" s="125"/>
      <c r="G10" s="168"/>
      <c r="H10" s="178"/>
      <c r="I10" s="126"/>
      <c r="J10" s="2"/>
    </row>
    <row r="11" spans="2:10" ht="15.75" thickBot="1" x14ac:dyDescent="0.3">
      <c r="B11" s="195">
        <v>11</v>
      </c>
      <c r="C11" s="128" t="s">
        <v>36</v>
      </c>
      <c r="D11" s="61"/>
      <c r="E11" s="129" t="str">
        <f>IF(D11="","",VLOOKUP(D11,OC_PC_kod,2,FALSE))</f>
        <v/>
      </c>
      <c r="F11" s="125"/>
      <c r="G11" s="168"/>
      <c r="H11" s="178"/>
      <c r="I11" s="126"/>
      <c r="J11" s="2"/>
    </row>
    <row r="12" spans="2:10" ht="15.75" thickBot="1" x14ac:dyDescent="0.3">
      <c r="B12" s="195">
        <v>12</v>
      </c>
      <c r="C12" s="128" t="s">
        <v>37</v>
      </c>
      <c r="D12" s="61"/>
      <c r="E12" s="129" t="str">
        <f>IF(D12="","",VLOOKUP(D12,OC_MaPUC_kod,2,FALSE))</f>
        <v/>
      </c>
      <c r="F12" s="125"/>
      <c r="G12" s="154" t="str">
        <f>IF(D12="",IF(OR(E9="4",E9="5"),"Celonerezové",""),"")</f>
        <v/>
      </c>
      <c r="H12" s="179" t="str">
        <f>IF(E12=1,IF(OR(E9="4",E9="5"),"Chyba - pro tuto Zónu je možné použít jen celonerezové čidlo!",""),"")</f>
        <v/>
      </c>
      <c r="I12" s="126"/>
      <c r="J12" s="2"/>
    </row>
    <row r="13" spans="2:10" ht="15.75" thickBot="1" x14ac:dyDescent="0.3">
      <c r="B13" s="195">
        <v>13</v>
      </c>
      <c r="C13" s="128" t="s">
        <v>289</v>
      </c>
      <c r="D13" s="61"/>
      <c r="E13" s="129" t="str">
        <f>IF(D13="","",VLOOKUP(D13,OC_ME_kod,2,FALSE))</f>
        <v/>
      </c>
      <c r="F13" s="125"/>
      <c r="G13" s="168"/>
      <c r="H13" s="169"/>
      <c r="I13" s="126"/>
      <c r="J13" s="2"/>
    </row>
    <row r="14" spans="2:10" ht="15.75" thickBot="1" x14ac:dyDescent="0.3">
      <c r="B14" s="195">
        <v>14</v>
      </c>
      <c r="C14" s="128" t="s">
        <v>35</v>
      </c>
      <c r="D14" s="61"/>
      <c r="E14" s="129" t="str">
        <f>IF(D14="","",VLOOKUP(D14,OC_VC_kod,2,FALSE))</f>
        <v/>
      </c>
      <c r="F14" s="125"/>
      <c r="G14" s="154" t="str">
        <f>IF(D14="",IF(OR(E10="01",E10="02"),"PTFE",""),"")</f>
        <v/>
      </c>
      <c r="H14" s="179" t="str">
        <f>IF(E10="","",IF(E10="XX","",IF(E14=1,IF(E10&gt;="03","","Chyba: VÝSTELKA neodpovídá výše zadané DIMENZI!"),IF(E14=2,IF(E10&gt;="05","","Chyba: VÝSTELKA neodpovídá výše zadané DIMENZI!"),IF(E14=4,IF(E10="14","","Chyba: VÝSTELKA neodpovídá výše zadané DIMENZI!"),"")))))</f>
        <v/>
      </c>
      <c r="I14" s="126"/>
      <c r="J14" s="2"/>
    </row>
    <row r="15" spans="2:10" ht="15.75" thickBot="1" x14ac:dyDescent="0.3">
      <c r="B15" s="195">
        <v>15</v>
      </c>
      <c r="C15" s="128" t="s">
        <v>357</v>
      </c>
      <c r="D15" s="199" t="str">
        <f>IF(D9="","","IP 67")</f>
        <v/>
      </c>
      <c r="E15" s="129" t="str">
        <f>IF(D9="","",1)</f>
        <v/>
      </c>
      <c r="F15" s="125"/>
      <c r="G15" s="168"/>
      <c r="H15" s="179" t="str">
        <f>IF(E18="","",IF(OR(E14="",E14="x",E14=3),"",IF(E14=4,IF(OR(E18=1,E18=5),"Chyba: VÝSTELKA nevyhovuje požadované teplotní třídě či povrchové teplotě!",""),IF(OR(E18=4,E18=8),"","Chyba: VÝSTELKA nevyhovuje požadované teplotní třídě či povrchové teplotě!"))))</f>
        <v/>
      </c>
      <c r="I15" s="126"/>
      <c r="J15" s="2"/>
    </row>
    <row r="16" spans="2:10" ht="15.75" thickBot="1" x14ac:dyDescent="0.3">
      <c r="B16" s="195">
        <v>16</v>
      </c>
      <c r="C16" s="128" t="s">
        <v>120</v>
      </c>
      <c r="D16" s="62"/>
      <c r="E16" s="129" t="str">
        <f>IF(D$16=Data!A56,Data!B56,IF(D$16=Data!A57,Data!B57,""))</f>
        <v/>
      </c>
      <c r="F16" s="125"/>
      <c r="G16" s="168"/>
      <c r="H16" s="179" t="str">
        <f>IF(D16="","",IF(E16=1,IF(E10&gt;"01","","CHYBA - Nejmenší dimenze pro zemnicí elektrodu je 20!"),""))</f>
        <v/>
      </c>
      <c r="I16" s="126"/>
      <c r="J16" s="2"/>
    </row>
    <row r="17" spans="1:10" ht="20.25" customHeight="1" thickBot="1" x14ac:dyDescent="0.3">
      <c r="B17" s="195">
        <v>17</v>
      </c>
      <c r="C17" s="128" t="s">
        <v>329</v>
      </c>
      <c r="D17" s="62"/>
      <c r="E17" s="129" t="str">
        <f>IF(D17="","",VLOOKUP(D17,OC_JT_kod,2,FALSE))</f>
        <v/>
      </c>
      <c r="F17" s="125"/>
      <c r="G17" s="154" t="str">
        <f>IF(D17="",IF(E10="XX","",IF(E11=2,"Class 150",IF(E10&gt;="13","PN 10",IF(E10&gt;="07","PN 16",IF(E10&gt;="01","PN 40",""))))),"")</f>
        <v/>
      </c>
      <c r="H17" s="180" t="str">
        <f>IF(E10="XX","",IF(E17="X","",IF(D17="","",IF(E11=2,IF(E17=4,"","Tento jenovitý tlak s přírubami ASME není ve standardním výrobním programu."),IF(E10&gt;="13",IF(E17=1,"","Kombinace dimenze a tlaku není ve standardním výrobním programu."),IF(E10&gt;="07",IF(E17=2,"","Kombinace dimenze a tlaku není ve standardním výrobním programu."),IF(E10&gt;="01",IF(E17=3,"","Tato kombinace dimenze a tlaku není ve standardním výrobním programu."),"")))))))</f>
        <v/>
      </c>
      <c r="I17" s="126"/>
      <c r="J17" s="2"/>
    </row>
    <row r="18" spans="1:10" ht="20.25" customHeight="1" thickBot="1" x14ac:dyDescent="0.3">
      <c r="B18" s="195">
        <v>18</v>
      </c>
      <c r="C18" s="130" t="str">
        <f>IF(OR(E9="1",E9="2"),"Teplotní třída pro 2G (plyny)",IF(OR(E9="4",E9="5"),"Povrchová teplota pro 2D (prach)",""))</f>
        <v/>
      </c>
      <c r="D18" s="62"/>
      <c r="E18" s="129" t="str">
        <f>IF(D18="","",VLOOKUP(D18,OC_TtPt_kod,2,FALSE))</f>
        <v/>
      </c>
      <c r="F18" s="125"/>
      <c r="G18" s="168" t="str">
        <f>IF(D18="",IF(E6=0,"Max. 60 °C",IF(E6=4,"Max. 60 °C","")),"")</f>
        <v/>
      </c>
      <c r="H18" s="179" t="str">
        <f>IF(D18="","",IF(C18="","Nejdříve zadejte Zónu",IF(OR(E9="1",E9="2"),IF(E18&lt;=4,"","Chybná hodnota - neodpovídá zóně ani názvu parametru."),IF(OR(E9="4",E9="5"),IF(E18&gt;=5,"","Chybná hodnota - neodpovídá zóně ani názvu parametru."),IF(D9="","","Nepřípustná zóna")))))</f>
        <v/>
      </c>
      <c r="I18" s="126"/>
      <c r="J18" s="2"/>
    </row>
    <row r="19" spans="1:10" ht="15.75" thickBot="1" x14ac:dyDescent="0.3">
      <c r="B19" s="195">
        <v>19</v>
      </c>
      <c r="C19" s="131" t="s">
        <v>344</v>
      </c>
      <c r="D19" s="61"/>
      <c r="E19" s="129" t="str">
        <f>IF(D19="","",VLOOKUP(D19,OC_MPTM_kod,2,FALSE))</f>
        <v/>
      </c>
      <c r="F19" s="125"/>
      <c r="G19" s="168" t="str">
        <f>IF(D19="",IF(E7=0,"Max. 60 °C",IF(E7=4,"Max. 60 °C","")),"")</f>
        <v/>
      </c>
      <c r="H19" s="169"/>
      <c r="I19" s="126"/>
      <c r="J19" s="2"/>
    </row>
    <row r="20" spans="1:10" ht="15.75" thickBot="1" x14ac:dyDescent="0.3">
      <c r="B20" s="195">
        <v>20</v>
      </c>
      <c r="C20" s="128" t="s">
        <v>414</v>
      </c>
      <c r="D20" s="248"/>
      <c r="E20" s="129" t="str">
        <f>IF(D20="","",VLOOKUP(D20,OC_PS_kod,2,FALSE))</f>
        <v/>
      </c>
      <c r="F20" s="125"/>
      <c r="G20" s="168"/>
      <c r="H20" s="169"/>
      <c r="I20" s="126"/>
      <c r="J20" s="2"/>
    </row>
    <row r="21" spans="1:10" ht="15.75" thickBot="1" x14ac:dyDescent="0.3">
      <c r="B21" s="195">
        <v>21</v>
      </c>
      <c r="C21" s="132" t="s">
        <v>358</v>
      </c>
      <c r="D21" s="63"/>
      <c r="E21" s="133" t="str">
        <f>IF(D21=Data!A85,Data!B85,IF(D21=Data!A86,Data!B86,""))</f>
        <v/>
      </c>
      <c r="F21" s="134"/>
      <c r="G21" s="170"/>
      <c r="H21" s="181"/>
      <c r="I21" s="135" t="s">
        <v>107</v>
      </c>
      <c r="J21" s="2"/>
    </row>
    <row r="22" spans="1:10" ht="15.75" thickBot="1" x14ac:dyDescent="0.3">
      <c r="B22" s="195">
        <v>22</v>
      </c>
      <c r="C22" s="128" t="s">
        <v>95</v>
      </c>
      <c r="D22" s="61"/>
      <c r="E22" s="129" t="str">
        <f>IF(D$22=Data!A88,Data!B88,IF(D$22=Data!A89,Data!B89,""))</f>
        <v/>
      </c>
      <c r="F22" s="125"/>
      <c r="G22" s="168"/>
      <c r="H22" s="169"/>
      <c r="I22" s="126"/>
      <c r="J22" s="2"/>
    </row>
    <row r="23" spans="1:10" ht="15.75" thickBot="1" x14ac:dyDescent="0.3">
      <c r="B23" s="195">
        <v>23</v>
      </c>
      <c r="C23" s="130" t="s">
        <v>88</v>
      </c>
      <c r="D23" s="63"/>
      <c r="E23" s="129" t="str">
        <f>IF(E7=4,0,IF(D23="","",VLOOKUP(D23,OC_DK_kod,2,FALSE)))</f>
        <v/>
      </c>
      <c r="F23" s="125"/>
      <c r="G23" s="168"/>
      <c r="H23" s="179" t="str">
        <f>IF(D23="","",IF(E7=4,IF(D23="0","","Ke kompaktnímu provedení nepatří kabel! Hodnotu smažte!"),""))</f>
        <v/>
      </c>
      <c r="I23" s="126"/>
      <c r="J23" s="2"/>
    </row>
    <row r="24" spans="1:10" ht="16.5" thickBot="1" x14ac:dyDescent="0.3">
      <c r="B24" s="109" t="s">
        <v>75</v>
      </c>
      <c r="C24" s="105" t="s">
        <v>44</v>
      </c>
      <c r="D24" s="263" t="s">
        <v>75</v>
      </c>
      <c r="E24" s="111" t="s">
        <v>0</v>
      </c>
      <c r="F24" s="125"/>
      <c r="G24" s="108"/>
      <c r="H24" s="177"/>
      <c r="I24" s="126"/>
      <c r="J24" s="2"/>
    </row>
    <row r="25" spans="1:10" ht="15.75" thickBot="1" x14ac:dyDescent="0.3">
      <c r="A25" s="196"/>
      <c r="B25" s="195">
        <v>25</v>
      </c>
      <c r="C25" s="128" t="s">
        <v>97</v>
      </c>
      <c r="D25" s="8"/>
      <c r="E25" s="129" t="str">
        <f>IF(D25=Data!A102,Data!B102,IF(D25=Data!A103,Data!B103,IF(D25=Data!A104,Data!B104,"")))</f>
        <v/>
      </c>
      <c r="F25" s="125"/>
      <c r="G25" s="168"/>
      <c r="H25" s="180" t="str">
        <f>IF(E25=1,"Nastavení podle tabulky na listu Impulzní čísla","")</f>
        <v/>
      </c>
      <c r="I25" s="126"/>
      <c r="J25" s="2"/>
    </row>
    <row r="26" spans="1:10" ht="15.75" thickBot="1" x14ac:dyDescent="0.3">
      <c r="A26" s="196"/>
      <c r="B26" s="195">
        <v>26</v>
      </c>
      <c r="C26" s="128" t="s">
        <v>359</v>
      </c>
      <c r="D26" s="9"/>
      <c r="E26" s="129" t="str">
        <f>IF(D26="","",VLOOKUP(D26,OC_JO_kod,2,FALSE))</f>
        <v/>
      </c>
      <c r="F26" s="125"/>
      <c r="G26" s="168"/>
      <c r="H26" s="169"/>
      <c r="I26" s="126"/>
      <c r="J26" s="2"/>
    </row>
    <row r="27" spans="1:10" ht="15.75" thickBot="1" x14ac:dyDescent="0.3">
      <c r="A27" s="196"/>
      <c r="B27" s="195">
        <v>27</v>
      </c>
      <c r="C27" s="128" t="s">
        <v>360</v>
      </c>
      <c r="D27" s="9"/>
      <c r="E27" s="129" t="str">
        <f>IF(D27="","",VLOOKUP(D27,OC_JP_kod,2,FALSE))</f>
        <v/>
      </c>
      <c r="F27" s="125"/>
      <c r="G27" s="168"/>
      <c r="H27" s="169"/>
      <c r="I27" s="126"/>
      <c r="J27" s="2"/>
    </row>
    <row r="28" spans="1:10" ht="15.75" thickBot="1" x14ac:dyDescent="0.3">
      <c r="A28" s="196"/>
      <c r="B28" s="195">
        <v>28</v>
      </c>
      <c r="C28" s="128" t="s">
        <v>47</v>
      </c>
      <c r="D28" s="8"/>
      <c r="E28" s="129" t="str">
        <f>IF(D28=Data!A164,Data!B164,IF(D28=Data!A165,Data!B165,IF(D28=Data!A166,Data!B166,IF(D28=Data!A167,Data!B167,IF(D28=Data!A168,Data!B168,IF(D28=Data!A169,Data!B169,IF(D28=Data!A170,Data!B170,"")))))))</f>
        <v/>
      </c>
      <c r="F28" s="125"/>
      <c r="G28" s="168"/>
      <c r="H28" s="169"/>
      <c r="I28" s="126"/>
      <c r="J28" s="2"/>
    </row>
    <row r="29" spans="1:10" ht="15.75" thickBot="1" x14ac:dyDescent="0.3">
      <c r="A29" s="196"/>
      <c r="B29" s="195">
        <v>29</v>
      </c>
      <c r="C29" s="128" t="s">
        <v>46</v>
      </c>
      <c r="D29" s="9"/>
      <c r="E29" s="129" t="str">
        <f>IF(D29=Data!A172,Data!B172,IF(D29=Data!A173,Data!B173,IF(D29=Data!A174,Data!B174,"")))</f>
        <v/>
      </c>
      <c r="F29" s="125"/>
      <c r="G29" s="168"/>
      <c r="H29" s="169"/>
      <c r="I29" s="126"/>
      <c r="J29" s="2"/>
    </row>
    <row r="30" spans="1:10" ht="15.75" thickBot="1" x14ac:dyDescent="0.3">
      <c r="A30" s="196"/>
      <c r="B30" s="195">
        <v>30</v>
      </c>
      <c r="C30" s="128" t="s">
        <v>61</v>
      </c>
      <c r="D30" s="8"/>
      <c r="E30" s="129" t="str">
        <f>IF(D30="","",VLOOKUP(D30,OC_ZJ_kod,2,FALSE))</f>
        <v/>
      </c>
      <c r="F30" s="118"/>
      <c r="G30" s="168"/>
      <c r="H30" s="178"/>
      <c r="I30" s="136"/>
    </row>
    <row r="31" spans="1:10" ht="15.75" thickBot="1" x14ac:dyDescent="0.3">
      <c r="A31" s="196"/>
      <c r="B31" s="195">
        <v>31</v>
      </c>
      <c r="C31" s="128" t="s">
        <v>138</v>
      </c>
      <c r="D31" s="37"/>
      <c r="E31" s="129" t="str">
        <f>IF(D31="","",VLOOKUP(D31,OC_Zobr_kod,2,FALSE))</f>
        <v/>
      </c>
      <c r="F31" s="125"/>
      <c r="G31" s="168"/>
      <c r="H31" s="169"/>
      <c r="I31" s="126"/>
      <c r="J31" s="2"/>
    </row>
    <row r="32" spans="1:10" ht="15.75" thickBot="1" x14ac:dyDescent="0.3">
      <c r="A32" s="196"/>
      <c r="B32" s="195">
        <v>32</v>
      </c>
      <c r="C32" s="128" t="s">
        <v>137</v>
      </c>
      <c r="D32" s="15"/>
      <c r="E32" s="129" t="str">
        <f>IF(D32=Data!A195,Data!B195,IF(D32=Data!A196,Data!B196,""))</f>
        <v/>
      </c>
      <c r="F32" s="125"/>
      <c r="G32" s="168"/>
      <c r="H32" s="180" t="str">
        <f>IF(E32=1,"Q₃ = Q pro v = 8 m/s","")</f>
        <v/>
      </c>
      <c r="I32" s="126"/>
      <c r="J32" s="2"/>
    </row>
    <row r="33" spans="1:10" ht="15.75" thickBot="1" x14ac:dyDescent="0.3">
      <c r="A33" s="196"/>
      <c r="B33" s="195">
        <v>33</v>
      </c>
      <c r="C33" s="128" t="s">
        <v>161</v>
      </c>
      <c r="D33" s="9"/>
      <c r="E33" s="129" t="str">
        <f>IF(D33="","",VLOOKUP(D33,OC_AV_kod,2,FALSE))</f>
        <v/>
      </c>
      <c r="F33" s="125"/>
      <c r="G33" s="168"/>
      <c r="H33" s="180" t="str">
        <f>IF(OR(E33="01",E33="03"),"Q₃ = Q pro v = 8 m/s","")</f>
        <v/>
      </c>
      <c r="I33" s="126"/>
      <c r="J33" s="2"/>
    </row>
    <row r="34" spans="1:10" ht="15.75" thickBot="1" x14ac:dyDescent="0.3">
      <c r="A34" s="196"/>
      <c r="B34" s="195">
        <v>34</v>
      </c>
      <c r="C34" s="128" t="s">
        <v>186</v>
      </c>
      <c r="D34" s="9"/>
      <c r="E34" s="129" t="str">
        <f>IF(D34="","",VLOOKUP(D34,OC_VOUT1_kod,2,FALSE))</f>
        <v/>
      </c>
      <c r="F34" s="125"/>
      <c r="G34" s="168"/>
      <c r="H34" s="180" t="str">
        <f>IF(E34="12","Qmezní = Q₃  -  sepne, je-li Q &gt; Qmezní",IF(E34="13","Qmezní = Q₃  -  sepne, je-li |Q| &gt; Qmezní",IF(E34="14","Je sepnuto, pokud na průtokoměru není závada.",IF(AND(E34&gt;="01",E34&lt;="06"),"0 ÷ Q₃  (Q₃ = Q pro v = 8 m/s)",IF(OR(E25="x",E25=0),IF(OR(E34="08",E34="09",E34="10"),"CHYBA - Tento výstup není možný, pokud jste nezvolili standardní Impulzní číslo!",""),IF(OR(E34="08",E34="09",E34="10"),"Standardní šířka pulzu a impulzní číslo, viz list Impulzní čísla",""))))))</f>
        <v/>
      </c>
      <c r="I34" s="126"/>
      <c r="J34" s="2"/>
    </row>
    <row r="35" spans="1:10" ht="15.75" thickBot="1" x14ac:dyDescent="0.3">
      <c r="A35" s="196"/>
      <c r="B35" s="195">
        <v>35</v>
      </c>
      <c r="C35" s="130" t="s">
        <v>165</v>
      </c>
      <c r="D35" s="9"/>
      <c r="E35" s="129" t="str">
        <f>IF(OR(E34="00",E34="01",E34="02",E34="03",E34="04",E34="05",E34="06",E34="x1"),0,IF(D35=Data!A222,Data!B222,IF(D35=Data!A223,Data!B223,"")))</f>
        <v/>
      </c>
      <c r="F35" s="125"/>
      <c r="G35" s="168"/>
      <c r="H35" s="179" t="str">
        <f>IF(E35=0,IF(D35="","","CHYBA - Výstup OUT1 není pulzní, údaj musí být prázdný!"),"")</f>
        <v/>
      </c>
      <c r="I35" s="126"/>
      <c r="J35" s="2"/>
    </row>
    <row r="36" spans="1:10" ht="15.75" thickBot="1" x14ac:dyDescent="0.3">
      <c r="A36" s="196"/>
      <c r="B36" s="195">
        <v>36</v>
      </c>
      <c r="C36" s="128" t="s">
        <v>187</v>
      </c>
      <c r="D36" s="15"/>
      <c r="E36" s="129" t="str">
        <f>IF(D36="","",VLOOKUP(D36,OC_VOUT2_kod,2,FALSE))</f>
        <v/>
      </c>
      <c r="F36" s="118"/>
      <c r="G36" s="168"/>
      <c r="H36" s="180" t="str">
        <f>IF(E36="12","Qmezní = Q₃  -  sepne, je-li Q &gt; Qmezní",IF(E36="13","Qmezní = Q₃  -  sepne, je-li |Q| &gt; Qmezní",IF(E36="14","Pokud na průtokoměru není závada - je sepnuto!",IF(AND(E36&gt;="01",E36&lt;="06"),"0 ÷ Q₃  (Q₃ = Q pro v = 8 m/s)",IF(OR(E25="x",E25=0),IF(OR(E36="08",E36="09",E36="10"),"CHYBA - Tento výstup není možný, pokud jste nezvolili standardní Impulzní číslo!",""),IF(OR(E36="08",E36="09",E36="10"),"Standardní šířka pulzu a impulzní číslo, viz list Impulzní čísla",""))))))</f>
        <v/>
      </c>
      <c r="I36" s="136"/>
    </row>
    <row r="37" spans="1:10" ht="15.75" thickBot="1" x14ac:dyDescent="0.3">
      <c r="A37" s="196"/>
      <c r="B37" s="195">
        <v>37</v>
      </c>
      <c r="C37" s="130" t="s">
        <v>166</v>
      </c>
      <c r="D37" s="9"/>
      <c r="E37" s="129" t="str">
        <f>IF(OR(E36="00",E36="01",E36="02",E36="03",E36="04",E36="05",E36="06",E36="x1"),0,IF(D37=Data!A243,Data!B243,IF(D37=Data!A244,Data!B244,"")))</f>
        <v/>
      </c>
      <c r="F37" s="125"/>
      <c r="G37" s="168"/>
      <c r="H37" s="179" t="str">
        <f>IF(E37=0,IF(D37="","","CHYBA - Výstup OUT2 není pulzní, údaj musí být prázdný!"),"")</f>
        <v/>
      </c>
      <c r="I37" s="126"/>
      <c r="J37" s="2"/>
    </row>
    <row r="38" spans="1:10" ht="16.5" thickBot="1" x14ac:dyDescent="0.3">
      <c r="B38" s="109" t="s">
        <v>75</v>
      </c>
      <c r="C38" s="110" t="s">
        <v>263</v>
      </c>
      <c r="D38" s="263" t="s">
        <v>75</v>
      </c>
      <c r="E38" s="111" t="s">
        <v>0</v>
      </c>
      <c r="F38" s="125"/>
      <c r="G38" s="108"/>
      <c r="H38" s="177"/>
      <c r="I38" s="126"/>
    </row>
    <row r="39" spans="1:10" ht="15.75" thickBot="1" x14ac:dyDescent="0.3">
      <c r="B39" s="195">
        <v>39</v>
      </c>
      <c r="C39" s="131" t="s">
        <v>259</v>
      </c>
      <c r="D39" s="9"/>
      <c r="E39" s="129" t="str">
        <f>IF(D39=Data!A246,Data!B246,IF(D39=Data!A247,Data!B247,""))</f>
        <v/>
      </c>
      <c r="F39" s="118"/>
      <c r="G39" s="168"/>
      <c r="H39" s="178"/>
      <c r="I39" s="136"/>
    </row>
    <row r="40" spans="1:10" ht="15.75" thickBot="1" x14ac:dyDescent="0.3">
      <c r="B40" s="195">
        <v>40</v>
      </c>
      <c r="C40" s="130" t="s">
        <v>168</v>
      </c>
      <c r="D40" s="8"/>
      <c r="E40" s="129" t="str">
        <f>IF(E39=0,"000",IF(D40="","",IF(D40&lt;10,"00"&amp;D40,IF(D40&lt;100,"0"&amp;D40,D40))))</f>
        <v/>
      </c>
      <c r="F40" s="118"/>
      <c r="G40" s="154" t="str">
        <f>IF(E5="","",IF(E39=0,"",IF(D40="","4","")))</f>
        <v/>
      </c>
      <c r="H40" s="179" t="str">
        <f>IF(E39=0,IF(D40="","","Komunikace není požadována, údaj musí být prázdný!"),"")</f>
        <v/>
      </c>
      <c r="I40" s="136"/>
    </row>
    <row r="41" spans="1:10" ht="15.75" thickBot="1" x14ac:dyDescent="0.3">
      <c r="B41" s="195">
        <v>41</v>
      </c>
      <c r="C41" s="130" t="s">
        <v>62</v>
      </c>
      <c r="D41" s="9"/>
      <c r="E41" s="129" t="str">
        <f>IF(E39=0,0,IF(D41=Data!A251,Data!B251,IF(D41=Data!A252,Data!B252,IF(D41=Data!A253,Data!B253,IF(D41=Data!A254,Data!B254,IF(D41=Data!A255,Data!B255,IF(D41=Data!A256,Data!B256,IF(D41=Data!A257,Data!B257,IF(D41=Data!A258,Data!B258,IF(D41=Data!A259,Data!B259,""))))))))))</f>
        <v/>
      </c>
      <c r="F41" s="118"/>
      <c r="G41" s="168"/>
      <c r="H41" s="179" t="str">
        <f>IF(E39=0,IF(D41="","","Komunikace není požadována, údaj musí být prázdný!"),"")</f>
        <v/>
      </c>
      <c r="I41" s="136"/>
    </row>
    <row r="42" spans="1:10" ht="21.75" hidden="1" thickBot="1" x14ac:dyDescent="0.3">
      <c r="B42" s="195">
        <v>42</v>
      </c>
      <c r="C42" s="130" t="s">
        <v>262</v>
      </c>
      <c r="D42" s="255" t="s">
        <v>50</v>
      </c>
      <c r="E42" s="129" t="str">
        <f>IF(E39=0,0,IF(E41&lt;&gt;"",0,""))</f>
        <v/>
      </c>
      <c r="F42" s="118"/>
      <c r="G42" s="168"/>
      <c r="H42" s="178"/>
      <c r="I42" s="136"/>
    </row>
    <row r="43" spans="1:10" ht="15.75" thickBot="1" x14ac:dyDescent="0.3">
      <c r="B43" s="195">
        <v>43</v>
      </c>
      <c r="C43" s="130" t="s">
        <v>173</v>
      </c>
      <c r="D43" s="14"/>
      <c r="E43" s="129" t="str">
        <f>IF(E39=0,0,IF(D43=Data!A264,Data!B264,IF(D43=Data!A265,Data!B265,"")))</f>
        <v/>
      </c>
      <c r="F43" s="118"/>
      <c r="G43" s="168"/>
      <c r="H43" s="179" t="str">
        <f>IF(E39=0,IF(D43="","","Komunikace není požadována, údaj musí být prázdný!"),"")</f>
        <v/>
      </c>
      <c r="I43" s="136"/>
    </row>
    <row r="44" spans="1:10" ht="16.5" thickBot="1" x14ac:dyDescent="0.3">
      <c r="B44" s="245" t="s">
        <v>75</v>
      </c>
      <c r="C44" s="105" t="s">
        <v>188</v>
      </c>
      <c r="D44" s="263" t="s">
        <v>75</v>
      </c>
      <c r="E44" s="111" t="s">
        <v>0</v>
      </c>
      <c r="F44" s="125"/>
      <c r="G44" s="108"/>
      <c r="H44" s="177"/>
      <c r="I44" s="126"/>
    </row>
    <row r="45" spans="1:10" ht="15.75" thickBot="1" x14ac:dyDescent="0.3">
      <c r="B45" s="195">
        <v>45</v>
      </c>
      <c r="C45" s="128" t="s">
        <v>189</v>
      </c>
      <c r="D45" s="14"/>
      <c r="E45" s="129" t="str">
        <f>IF(D45=Data!A267,Data!B267,IF(D45=Data!A268,Data!B268,IF(D45=Data!A269,Data!B269,IF(D45=Data!A270,Data!B270,IF(D45=Data!A271,Data!B271,IF(D45=Data!A272,Data!B272,IF(D45=Data!A273,Data!B273,"")))))))</f>
        <v/>
      </c>
      <c r="F45" s="118"/>
      <c r="G45" s="168"/>
      <c r="H45" s="262" t="str">
        <f>IF(E45=1,"Max. chyba pro horní oblast průtoku: ±2 % pro teploty do 30 °C a ±3 % pro teploty nad 30 °C. Pro dolní oblast: ±5 % bez ohledu na teplotu.",IF(E45=2,"Platí pro rozsah průtoků 5–100% Q4",IF(E45=3,"Platí pro rozsah průtoků 10–100% Q4","")))</f>
        <v/>
      </c>
      <c r="I45" s="136"/>
    </row>
    <row r="46" spans="1:10" ht="16.5" thickBot="1" x14ac:dyDescent="0.3">
      <c r="B46" s="245" t="s">
        <v>75</v>
      </c>
      <c r="C46" s="105" t="s">
        <v>63</v>
      </c>
      <c r="D46" s="263" t="s">
        <v>75</v>
      </c>
      <c r="E46" s="111" t="s">
        <v>0</v>
      </c>
      <c r="F46" s="125"/>
      <c r="G46" s="108"/>
      <c r="H46" s="177"/>
      <c r="I46" s="126"/>
    </row>
    <row r="47" spans="1:10" ht="15.75" thickBot="1" x14ac:dyDescent="0.3">
      <c r="B47" s="195">
        <v>47</v>
      </c>
      <c r="C47" s="128" t="s">
        <v>101</v>
      </c>
      <c r="D47" s="34"/>
      <c r="E47" s="129" t="str">
        <f>IF(D47="","",IF(D47=0,"000",IF(D47&lt;10,"00"&amp;D47,IF(D47&lt;100,"0"&amp;D47,D47))))</f>
        <v/>
      </c>
      <c r="F47" s="118"/>
      <c r="G47" s="168"/>
      <c r="H47" s="178"/>
      <c r="I47" s="136"/>
    </row>
    <row r="48" spans="1:10" ht="15.75" thickBot="1" x14ac:dyDescent="0.3">
      <c r="B48" s="195">
        <v>48</v>
      </c>
      <c r="C48" s="128" t="s">
        <v>64</v>
      </c>
      <c r="D48" s="14"/>
      <c r="E48" s="129" t="str">
        <f>IF(D48=Data!A277,Data!B277,IF(D48=Data!A278,Data!B278,IF(D48=Data!A279,Data!B279,"")))</f>
        <v/>
      </c>
      <c r="F48" s="118"/>
      <c r="G48" s="168"/>
      <c r="H48" s="178"/>
      <c r="I48" s="136"/>
    </row>
    <row r="49" spans="2:9" ht="15.75" thickBot="1" x14ac:dyDescent="0.3">
      <c r="B49" s="195">
        <v>49</v>
      </c>
      <c r="C49" s="128" t="s">
        <v>65</v>
      </c>
      <c r="D49" s="14"/>
      <c r="E49" s="129" t="str">
        <f>IF(D49=Data!A281,Data!B281,IF(D49=Data!A282,Data!B282,IF(D49=Data!A283,Data!B283,IF(D49=Data!A284,Data!B284,""))))</f>
        <v/>
      </c>
      <c r="F49" s="118"/>
      <c r="G49" s="168"/>
      <c r="H49" s="178"/>
      <c r="I49" s="136"/>
    </row>
    <row r="50" spans="2:9" ht="15.75" thickBot="1" x14ac:dyDescent="0.3">
      <c r="B50" s="195">
        <v>50</v>
      </c>
      <c r="C50" s="128" t="s">
        <v>66</v>
      </c>
      <c r="D50" s="14"/>
      <c r="E50" s="129" t="str">
        <f>IF(D50=Data!A286,Data!B286,IF(D50=Data!A287,Data!B287,IF(D50=Data!A288,Data!B288,IF(D50=Data!A289,Data!B289,IF(D50=Data!A290,Data!B290,IF(D50=Data!A291,Data!B291,""))))))</f>
        <v/>
      </c>
      <c r="F50" s="118"/>
      <c r="G50" s="168"/>
      <c r="H50" s="178"/>
      <c r="I50" s="136"/>
    </row>
    <row r="51" spans="2:9" ht="16.5" thickBot="1" x14ac:dyDescent="0.3">
      <c r="B51" s="245" t="s">
        <v>75</v>
      </c>
      <c r="C51" s="105" t="s">
        <v>76</v>
      </c>
      <c r="D51" s="263" t="s">
        <v>75</v>
      </c>
      <c r="E51" s="111" t="s">
        <v>0</v>
      </c>
      <c r="F51" s="137"/>
      <c r="G51" s="108"/>
      <c r="H51" s="177"/>
      <c r="I51" s="126"/>
    </row>
    <row r="52" spans="2:9" ht="15.75" thickBot="1" x14ac:dyDescent="0.3">
      <c r="B52" s="246">
        <v>52</v>
      </c>
      <c r="C52" s="138" t="s">
        <v>90</v>
      </c>
      <c r="D52" s="139" t="str">
        <f>IF(E47&lt;&gt;"","Es90674K/a","")</f>
        <v/>
      </c>
      <c r="E52" s="129" t="str">
        <f>IF(E47&lt;&gt;"",1,"")</f>
        <v/>
      </c>
      <c r="F52" s="140"/>
      <c r="G52" s="168"/>
      <c r="H52" s="179" t="str">
        <f>IF(Nezadano=0,"OK - specifikace je kompletní!",IF(AND(Nezadano&gt;0,Nezadano&lt;20),"Specifikace není úplná - počet nezadaných položek: "&amp;Nezadano,""))</f>
        <v/>
      </c>
      <c r="I52" s="126"/>
    </row>
    <row r="53" spans="2:9" ht="18" thickBot="1" x14ac:dyDescent="0.3">
      <c r="B53" s="247">
        <v>53</v>
      </c>
      <c r="C53" s="142" t="s">
        <v>109</v>
      </c>
      <c r="D53" s="49"/>
      <c r="E53" s="112"/>
      <c r="F53" s="140"/>
      <c r="G53" s="171"/>
      <c r="H53" s="171"/>
      <c r="I53" s="141"/>
    </row>
    <row r="54" spans="2:9" ht="9.75" customHeight="1" thickBot="1" x14ac:dyDescent="0.3">
      <c r="E54" s="27"/>
      <c r="H54" s="182"/>
    </row>
    <row r="55" spans="2:9" ht="20.25" customHeight="1" x14ac:dyDescent="0.25">
      <c r="B55" s="143"/>
      <c r="C55" s="144" t="s">
        <v>34</v>
      </c>
      <c r="D55" s="145"/>
      <c r="E55" s="146"/>
      <c r="F55" s="146"/>
      <c r="G55" s="188" t="s">
        <v>80</v>
      </c>
      <c r="H55" s="183"/>
      <c r="I55" s="147"/>
    </row>
    <row r="56" spans="2:9" ht="19.5" customHeight="1" x14ac:dyDescent="0.25">
      <c r="B56" s="148"/>
      <c r="C56" s="50" t="str">
        <f>IF(Nezadano=0,Tech!B4&amp;Tech!B5&amp;1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,"Úplné objednací číslo se vygeneruje až po zadání všech parametrů.")</f>
        <v>Úplné objednací číslo se vygeneruje až po zadání všech parametrů.</v>
      </c>
      <c r="D56" s="51"/>
      <c r="E56" s="149"/>
      <c r="F56" s="149"/>
      <c r="G56" s="189" t="s">
        <v>94</v>
      </c>
      <c r="H56" s="184"/>
      <c r="I56" s="122"/>
    </row>
    <row r="57" spans="2:9" ht="19.5" customHeight="1" thickBot="1" x14ac:dyDescent="0.3">
      <c r="B57" s="150"/>
      <c r="C57" s="65" t="str">
        <f>IF(NezadanHW=0,Tech!B4&amp;Tech!B5&amp;1&amp;Tech!B6&amp;Tech!B7&amp;Tech!B8&amp;Tech!B9&amp;Tech!B10&amp;Tech!B11&amp;Tech!B12&amp;Tech!B13&amp;Tech!B14&amp;Tech!B15&amp;Tech!B16&amp;Tech!B17&amp;Tech!B18&amp;Tech!B19&amp;Tech!B20,"")</f>
        <v/>
      </c>
      <c r="D57" s="45" t="str">
        <f>IF(NezadanHW=0,"← Část Objednacího čísla definující konstrukci výrobku.","")</f>
        <v/>
      </c>
      <c r="E57" s="151"/>
      <c r="F57" s="152"/>
      <c r="G57" s="173"/>
      <c r="H57" s="173"/>
      <c r="I57" s="153"/>
    </row>
    <row r="58" spans="2:9" ht="12" customHeight="1" thickBot="1" x14ac:dyDescent="0.3">
      <c r="E58" s="27"/>
      <c r="H58" s="182"/>
      <c r="I58" s="38" t="str">
        <f>Tech!B4&amp;Tech!B5&amp;1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</f>
        <v>FX1------</v>
      </c>
    </row>
    <row r="59" spans="2:9" ht="23.25" customHeight="1" x14ac:dyDescent="0.25">
      <c r="B59" s="155"/>
      <c r="C59" s="156" t="s">
        <v>117</v>
      </c>
      <c r="D59" s="157"/>
      <c r="E59" s="158"/>
      <c r="F59" s="159"/>
      <c r="G59" s="174" t="s">
        <v>93</v>
      </c>
      <c r="H59" s="185"/>
      <c r="I59" s="160"/>
    </row>
    <row r="60" spans="2:9" ht="145.5" customHeight="1" x14ac:dyDescent="0.25">
      <c r="B60" s="161"/>
      <c r="C60" s="265"/>
      <c r="D60" s="265"/>
      <c r="E60" s="129"/>
      <c r="F60" s="118"/>
      <c r="G60" s="266" t="str">
        <f>SoupisNP</f>
        <v/>
      </c>
      <c r="H60" s="267"/>
      <c r="I60" s="162"/>
    </row>
    <row r="61" spans="2:9" ht="8.25" customHeight="1" thickBot="1" x14ac:dyDescent="0.3">
      <c r="B61" s="161"/>
      <c r="C61" s="118"/>
      <c r="D61" s="118"/>
      <c r="E61" s="129"/>
      <c r="F61" s="118"/>
      <c r="G61" s="175"/>
      <c r="H61" s="186"/>
      <c r="I61" s="162"/>
    </row>
    <row r="62" spans="2:9" ht="17.45" customHeight="1" thickBot="1" x14ac:dyDescent="0.3">
      <c r="B62" s="163"/>
      <c r="C62" s="128" t="s">
        <v>79</v>
      </c>
      <c r="D62" s="28"/>
      <c r="E62" s="129"/>
      <c r="F62" s="118"/>
      <c r="G62" s="175"/>
      <c r="H62" s="186"/>
      <c r="I62" s="162"/>
    </row>
    <row r="63" spans="2:9" ht="17.45" customHeight="1" thickBot="1" x14ac:dyDescent="0.3">
      <c r="B63" s="163"/>
      <c r="C63" s="128" t="s">
        <v>98</v>
      </c>
      <c r="D63" s="35"/>
      <c r="E63" s="129"/>
      <c r="F63" s="118"/>
      <c r="G63" s="175"/>
      <c r="H63" s="186"/>
      <c r="I63" s="162"/>
    </row>
    <row r="64" spans="2:9" ht="17.45" customHeight="1" thickBot="1" x14ac:dyDescent="0.3">
      <c r="B64" s="163"/>
      <c r="C64" s="128" t="s">
        <v>112</v>
      </c>
      <c r="D64" s="35"/>
      <c r="E64" s="129"/>
      <c r="F64" s="118"/>
      <c r="G64" s="175"/>
      <c r="H64" s="186"/>
      <c r="I64" s="162"/>
    </row>
    <row r="65" spans="2:9" ht="17.45" customHeight="1" thickBot="1" x14ac:dyDescent="0.3">
      <c r="B65" s="163"/>
      <c r="C65" s="128" t="s">
        <v>99</v>
      </c>
      <c r="D65" s="35"/>
      <c r="E65" s="129"/>
      <c r="F65" s="118"/>
      <c r="G65" s="175"/>
      <c r="H65" s="186"/>
      <c r="I65" s="162"/>
    </row>
    <row r="66" spans="2:9" ht="17.45" customHeight="1" thickBot="1" x14ac:dyDescent="0.3">
      <c r="B66" s="163"/>
      <c r="C66" s="128" t="s">
        <v>100</v>
      </c>
      <c r="D66" s="35"/>
      <c r="E66" s="129"/>
      <c r="F66" s="118"/>
      <c r="G66" s="175"/>
      <c r="H66" s="186"/>
      <c r="I66" s="162"/>
    </row>
    <row r="67" spans="2:9" ht="17.45" customHeight="1" thickBot="1" x14ac:dyDescent="0.3">
      <c r="B67" s="163"/>
      <c r="C67" s="128" t="s">
        <v>111</v>
      </c>
      <c r="D67" s="36"/>
      <c r="E67" s="129"/>
      <c r="F67" s="118"/>
      <c r="G67" s="175"/>
      <c r="H67" s="186"/>
      <c r="I67" s="162"/>
    </row>
    <row r="68" spans="2:9" ht="8.25" customHeight="1" thickBot="1" x14ac:dyDescent="0.3">
      <c r="B68" s="164"/>
      <c r="C68" s="165"/>
      <c r="D68" s="165"/>
      <c r="E68" s="166"/>
      <c r="F68" s="165"/>
      <c r="G68" s="176"/>
      <c r="H68" s="187"/>
      <c r="I68" s="167"/>
    </row>
    <row r="69" spans="2:9" ht="18" customHeight="1" x14ac:dyDescent="0.25">
      <c r="B69" s="264" t="s">
        <v>422</v>
      </c>
    </row>
  </sheetData>
  <sheetProtection algorithmName="SHA-512" hashValue="+gnA88Jb4xoTgv9Y9gjucbwTGr7934xOHbxaNWreALWdAUQh7zViM/1q/Fv4EzVtLplDIIdW48XLee6atuwcBA==" saltValue="Q9AY/FADV4eIV+DJXYSSyg==" spinCount="100000" sheet="1" formatColumns="0" formatRows="0"/>
  <mergeCells count="2">
    <mergeCell ref="C60:D60"/>
    <mergeCell ref="G60:H60"/>
  </mergeCells>
  <conditionalFormatting sqref="C23">
    <cfRule type="expression" dxfId="16" priority="33">
      <formula>$E$7=4</formula>
    </cfRule>
  </conditionalFormatting>
  <conditionalFormatting sqref="C35">
    <cfRule type="expression" dxfId="15" priority="17">
      <formula>$E$35=0</formula>
    </cfRule>
  </conditionalFormatting>
  <conditionalFormatting sqref="C37">
    <cfRule type="expression" dxfId="14" priority="20">
      <formula>$E$37=0</formula>
    </cfRule>
  </conditionalFormatting>
  <conditionalFormatting sqref="C40:C43">
    <cfRule type="expression" dxfId="13" priority="15">
      <formula>$E$39=0</formula>
    </cfRule>
  </conditionalFormatting>
  <conditionalFormatting sqref="D9">
    <cfRule type="expression" dxfId="12" priority="12">
      <formula>$E$9="3"</formula>
    </cfRule>
    <cfRule type="expression" dxfId="11" priority="13">
      <formula>$E$9="0"</formula>
    </cfRule>
  </conditionalFormatting>
  <conditionalFormatting sqref="D23">
    <cfRule type="expression" dxfId="10" priority="35" stopIfTrue="1">
      <formula>$E$7=0</formula>
    </cfRule>
    <cfRule type="expression" dxfId="9" priority="36">
      <formula>$E$7=4</formula>
    </cfRule>
  </conditionalFormatting>
  <conditionalFormatting sqref="D35">
    <cfRule type="expression" dxfId="8" priority="19">
      <formula>$E$35=0</formula>
    </cfRule>
  </conditionalFormatting>
  <conditionalFormatting sqref="D37">
    <cfRule type="expression" dxfId="7" priority="18">
      <formula>$E$37=0</formula>
    </cfRule>
  </conditionalFormatting>
  <conditionalFormatting sqref="D39">
    <cfRule type="expression" dxfId="6" priority="16">
      <formula>#REF!="0"</formula>
    </cfRule>
  </conditionalFormatting>
  <conditionalFormatting sqref="D40:D43">
    <cfRule type="expression" dxfId="5" priority="14">
      <formula>$E$39=0</formula>
    </cfRule>
  </conditionalFormatting>
  <conditionalFormatting sqref="D42">
    <cfRule type="containsText" dxfId="4" priority="8" operator="containsText" text="Ano">
      <formula>NOT(ISERROR(SEARCH("Ano",D42)))</formula>
    </cfRule>
  </conditionalFormatting>
  <conditionalFormatting sqref="H34">
    <cfRule type="containsText" dxfId="3" priority="10" operator="containsText" text="CHYBA">
      <formula>NOT(ISERROR(SEARCH("CHYBA",H34)))</formula>
    </cfRule>
  </conditionalFormatting>
  <conditionalFormatting sqref="H36">
    <cfRule type="containsText" dxfId="2" priority="9" operator="containsText" text="CHYBA">
      <formula>NOT(ISERROR(SEARCH("CHYBA",H36)))</formula>
    </cfRule>
  </conditionalFormatting>
  <conditionalFormatting sqref="H52">
    <cfRule type="beginsWith" dxfId="1" priority="3" operator="beginsWith" text="OK">
      <formula>LEFT(H52,LEN("OK"))="OK"</formula>
    </cfRule>
    <cfRule type="beginsWith" dxfId="0" priority="4" operator="beginsWith" text="OK">
      <formula>LEFT(H52,LEN("OK"))="OK"</formula>
    </cfRule>
  </conditionalFormatting>
  <dataValidations count="43">
    <dataValidation type="list" allowBlank="1" showInputMessage="1" showErrorMessage="1" sqref="D5" xr:uid="{00000000-0002-0000-0000-000000000000}">
      <formula1>OC_VE</formula1>
    </dataValidation>
    <dataValidation type="list" allowBlank="1" showInputMessage="1" showErrorMessage="1" sqref="D7" xr:uid="{00000000-0002-0000-0000-000001000000}">
      <formula1>OC_KPP</formula1>
    </dataValidation>
    <dataValidation type="list" allowBlank="1" showInputMessage="1" showErrorMessage="1" sqref="D10" xr:uid="{00000000-0002-0000-0000-000002000000}">
      <formula1>OC_DC</formula1>
    </dataValidation>
    <dataValidation type="list" allowBlank="1" showInputMessage="1" showErrorMessage="1" sqref="D11" xr:uid="{00000000-0002-0000-0000-000003000000}">
      <formula1>OC_PC</formula1>
    </dataValidation>
    <dataValidation type="list" allowBlank="1" showInputMessage="1" showErrorMessage="1" sqref="D12" xr:uid="{00000000-0002-0000-0000-000004000000}">
      <formula1>OC_MaPUC</formula1>
    </dataValidation>
    <dataValidation type="list" allowBlank="1" showInputMessage="1" showErrorMessage="1" sqref="D13" xr:uid="{00000000-0002-0000-0000-000005000000}">
      <formula1>OC_ME</formula1>
    </dataValidation>
    <dataValidation type="list" allowBlank="1" showInputMessage="1" showErrorMessage="1" sqref="D14" xr:uid="{00000000-0002-0000-0000-000006000000}">
      <formula1>OC_VC</formula1>
    </dataValidation>
    <dataValidation type="list" allowBlank="1" showInputMessage="1" showErrorMessage="1" sqref="D34" xr:uid="{00000000-0002-0000-0000-000007000000}">
      <formula1>OC_VOUT1</formula1>
    </dataValidation>
    <dataValidation allowBlank="1" showErrorMessage="1" promptTitle="Upozornění" prompt="IP 68 nelze provést u kompaktního provedení!" sqref="D15" xr:uid="{00000000-0002-0000-0000-000008000000}"/>
    <dataValidation type="list" allowBlank="1" showInputMessage="1" showErrorMessage="1" sqref="D16" xr:uid="{00000000-0002-0000-0000-000009000000}">
      <formula1>OC_ZE</formula1>
    </dataValidation>
    <dataValidation type="list" allowBlank="1" showInputMessage="1" showErrorMessage="1" sqref="D17" xr:uid="{00000000-0002-0000-0000-00000A000000}">
      <formula1>IF($E$11=2,OC_JT_ASME,OC_JT_EN)</formula1>
    </dataValidation>
    <dataValidation type="list" allowBlank="1" showInputMessage="1" showErrorMessage="1" sqref="D19" xr:uid="{00000000-0002-0000-0000-00000B000000}">
      <formula1>OC_MPTM</formula1>
    </dataValidation>
    <dataValidation type="list" allowBlank="1" showInputMessage="1" showErrorMessage="1" sqref="D23" xr:uid="{00000000-0002-0000-0000-00000C000000}">
      <formula1>OC_DK</formula1>
    </dataValidation>
    <dataValidation type="list" allowBlank="1" showInputMessage="1" showErrorMessage="1" sqref="D23" xr:uid="{00000000-0002-0000-0000-00000D000000}">
      <formula1>OC_DTdPED</formula1>
    </dataValidation>
    <dataValidation type="list" allowBlank="1" showInputMessage="1" showErrorMessage="1" sqref="D29" xr:uid="{00000000-0002-0000-0000-00000E000000}">
      <formula1>OC_NM</formula1>
    </dataValidation>
    <dataValidation type="list" allowBlank="1" showInputMessage="1" showErrorMessage="1" sqref="D33" xr:uid="{00000000-0002-0000-0000-00000F000000}">
      <formula1>OC_AV</formula1>
    </dataValidation>
    <dataValidation type="list" allowBlank="1" showInputMessage="1" showErrorMessage="1" sqref="D28" xr:uid="{00000000-0002-0000-0000-000010000000}">
      <formula1>OC_PVpP</formula1>
    </dataValidation>
    <dataValidation type="list" allowBlank="1" showInputMessage="1" showErrorMessage="1" sqref="D25" xr:uid="{00000000-0002-0000-0000-000011000000}">
      <formula1>OC_IC</formula1>
    </dataValidation>
    <dataValidation type="list" allowBlank="1" showInputMessage="1" showErrorMessage="1" sqref="D31" xr:uid="{00000000-0002-0000-0000-000012000000}">
      <formula1>OC_Zobr</formula1>
    </dataValidation>
    <dataValidation type="list" allowBlank="1" showInputMessage="1" showErrorMessage="1" sqref="D36" xr:uid="{00000000-0002-0000-0000-000013000000}">
      <formula1>OC_VOUT2</formula1>
    </dataValidation>
    <dataValidation type="list" allowBlank="1" showInputMessage="1" showErrorMessage="1" sqref="D30" xr:uid="{00000000-0002-0000-0000-000014000000}">
      <formula1>OC_ZJ</formula1>
    </dataValidation>
    <dataValidation type="list" allowBlank="1" showInputMessage="1" showErrorMessage="1" sqref="D41" xr:uid="{00000000-0002-0000-0000-000015000000}">
      <formula1>OC_RP</formula1>
    </dataValidation>
    <dataValidation type="list" allowBlank="1" showInputMessage="1" showErrorMessage="1" sqref="D45" xr:uid="{00000000-0002-0000-0000-000016000000}">
      <formula1>OC_MP</formula1>
    </dataValidation>
    <dataValidation type="list" allowBlank="1" showInputMessage="1" showErrorMessage="1" sqref="D49" xr:uid="{00000000-0002-0000-0000-000017000000}">
      <formula1>OC_ZP</formula1>
    </dataValidation>
    <dataValidation type="list" allowBlank="1" showInputMessage="1" showErrorMessage="1" sqref="D50" xr:uid="{00000000-0002-0000-0000-000018000000}">
      <formula1>OC_Z</formula1>
    </dataValidation>
    <dataValidation type="list" allowBlank="1" showInputMessage="1" showErrorMessage="1" sqref="D16 D22" xr:uid="{00000000-0002-0000-0000-000019000000}">
      <formula1>OC_ZK</formula1>
    </dataValidation>
    <dataValidation type="list" allowBlank="1" showInputMessage="1" showErrorMessage="1" sqref="D48" xr:uid="{00000000-0002-0000-0000-00001A000000}">
      <formula1>OC_B</formula1>
    </dataValidation>
    <dataValidation type="whole" allowBlank="1" showInputMessage="1" showErrorMessage="1" sqref="D47" xr:uid="{00000000-0002-0000-0000-00001B000000}">
      <formula1>0</formula1>
      <formula2>999</formula2>
    </dataValidation>
    <dataValidation type="whole" allowBlank="1" showInputMessage="1" showErrorMessage="1" errorTitle="CHYBA" error="Číslo musí být v rozsahu 1 až 247." sqref="D40" xr:uid="{00000000-0002-0000-0000-00001C000000}">
      <formula1>1</formula1>
      <formula2>247</formula2>
    </dataValidation>
    <dataValidation type="list" allowBlank="1" showInputMessage="1" showErrorMessage="1" sqref="D21" xr:uid="{00000000-0002-0000-0000-00001D000000}">
      <formula1>OC_MT</formula1>
    </dataValidation>
    <dataValidation type="list" allowBlank="1" showInputMessage="1" showErrorMessage="1" sqref="D25 D33:D34 D28:D31" xr:uid="{00000000-0002-0000-0000-00001E000000}">
      <formula1>OC_DM</formula1>
    </dataValidation>
    <dataValidation type="list" allowBlank="1" showInputMessage="1" showErrorMessage="1" sqref="D25 D27" xr:uid="{00000000-0002-0000-0000-00001F000000}">
      <formula1>OC_JP</formula1>
    </dataValidation>
    <dataValidation type="list" allowBlank="1" showErrorMessage="1" promptTitle="Upozornění" prompt="IP 68 nelze provést u kompaktního provedení!" sqref="D16" xr:uid="{00000000-0002-0000-0000-000020000000}">
      <formula1>OC_ZE</formula1>
    </dataValidation>
    <dataValidation type="list" allowBlank="1" showInputMessage="1" showErrorMessage="1" sqref="D32" xr:uid="{00000000-0002-0000-0000-000021000000}">
      <formula1>OC_Prut</formula1>
    </dataValidation>
    <dataValidation type="list" allowBlank="1" showInputMessage="1" showErrorMessage="1" sqref="D35" xr:uid="{00000000-0002-0000-0000-000022000000}">
      <formula1>OC_FOUT1</formula1>
    </dataValidation>
    <dataValidation type="list" allowBlank="1" showInputMessage="1" showErrorMessage="1" sqref="D37" xr:uid="{00000000-0002-0000-0000-000023000000}">
      <formula1>OC_FOUT2</formula1>
    </dataValidation>
    <dataValidation type="list" allowBlank="1" showInputMessage="1" showErrorMessage="1" sqref="D42" xr:uid="{00000000-0002-0000-0000-000024000000}">
      <formula1>OC_H</formula1>
    </dataValidation>
    <dataValidation type="list" allowBlank="1" showInputMessage="1" showErrorMessage="1" sqref="D43" xr:uid="{00000000-0002-0000-0000-000025000000}">
      <formula1>OC_F4vp</formula1>
    </dataValidation>
    <dataValidation type="list" allowBlank="1" showInputMessage="1" showErrorMessage="1" sqref="D26" xr:uid="{00000000-0002-0000-0000-000026000000}">
      <formula1>OC_JO</formula1>
    </dataValidation>
    <dataValidation type="list" allowBlank="1" showInputMessage="1" showErrorMessage="1" sqref="D39" xr:uid="{00000000-0002-0000-0000-000027000000}">
      <formula1>OC_R</formula1>
    </dataValidation>
    <dataValidation type="list" allowBlank="1" showInputMessage="1" showErrorMessage="1" sqref="D9" xr:uid="{00000000-0002-0000-0000-000028000000}">
      <formula1>OC_Zon</formula1>
    </dataValidation>
    <dataValidation type="list" allowBlank="1" showInputMessage="1" showErrorMessage="1" sqref="D18" xr:uid="{00000000-0002-0000-0000-000029000000}">
      <formula1>IF(OR(E9="0",E9="1",E9="2"),OC_Tt,OC_Pt)</formula1>
    </dataValidation>
    <dataValidation type="list" allowBlank="1" showInputMessage="1" showErrorMessage="1" sqref="D20" xr:uid="{00000000-0002-0000-0000-00002A000000}">
      <formula1>OC_PS</formula1>
    </dataValidation>
  </dataValidations>
  <pageMargins left="0.62992125984251968" right="0.23622047244094491" top="0.74803149606299213" bottom="0.74803149606299213" header="0.31496062992125984" footer="0.31496062992125984"/>
  <pageSetup paperSize="9" scale="94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7"/>
  <sheetViews>
    <sheetView zoomScaleNormal="100" workbookViewId="0">
      <selection activeCell="A33" sqref="A33"/>
    </sheetView>
  </sheetViews>
  <sheetFormatPr defaultRowHeight="15" x14ac:dyDescent="0.25"/>
  <cols>
    <col min="1" max="1" width="50.85546875" customWidth="1"/>
    <col min="3" max="3" width="25.5703125" bestFit="1" customWidth="1"/>
    <col min="4" max="4" width="38.42578125" bestFit="1" customWidth="1"/>
  </cols>
  <sheetData>
    <row r="1" spans="1:4" x14ac:dyDescent="0.25">
      <c r="A1" s="4" t="s">
        <v>266</v>
      </c>
      <c r="B1" s="54" t="s">
        <v>104</v>
      </c>
      <c r="C1" s="99" t="s">
        <v>246</v>
      </c>
    </row>
    <row r="2" spans="1:4" x14ac:dyDescent="0.25">
      <c r="A2" s="5" t="s">
        <v>267</v>
      </c>
      <c r="B2" s="55">
        <v>1</v>
      </c>
      <c r="C2" s="98"/>
    </row>
    <row r="3" spans="1:4" x14ac:dyDescent="0.25">
      <c r="A3" s="53" t="s">
        <v>268</v>
      </c>
      <c r="B3" s="55">
        <v>2</v>
      </c>
      <c r="C3" s="98"/>
    </row>
    <row r="4" spans="1:4" x14ac:dyDescent="0.25">
      <c r="A4" s="4" t="s">
        <v>269</v>
      </c>
      <c r="C4" s="98"/>
    </row>
    <row r="5" spans="1:4" x14ac:dyDescent="0.25">
      <c r="A5" s="193" t="s">
        <v>31</v>
      </c>
      <c r="B5" s="55">
        <v>1</v>
      </c>
      <c r="C5" s="98"/>
    </row>
    <row r="6" spans="1:4" x14ac:dyDescent="0.25">
      <c r="A6" s="194" t="s">
        <v>421</v>
      </c>
      <c r="B6" s="55">
        <v>2</v>
      </c>
      <c r="C6" s="98"/>
    </row>
    <row r="7" spans="1:4" ht="15.75" customHeight="1" x14ac:dyDescent="0.25">
      <c r="A7" s="4" t="s">
        <v>119</v>
      </c>
      <c r="B7" s="56"/>
      <c r="C7" s="98"/>
    </row>
    <row r="8" spans="1:4" x14ac:dyDescent="0.25">
      <c r="A8" s="5" t="s">
        <v>4</v>
      </c>
      <c r="B8" s="55">
        <v>4</v>
      </c>
      <c r="C8" s="98"/>
    </row>
    <row r="9" spans="1:4" x14ac:dyDescent="0.25">
      <c r="A9" s="5" t="s">
        <v>5</v>
      </c>
      <c r="B9" s="55" t="s">
        <v>270</v>
      </c>
    </row>
    <row r="10" spans="1:4" x14ac:dyDescent="0.25">
      <c r="A10" s="52" t="s">
        <v>330</v>
      </c>
      <c r="B10" s="55"/>
    </row>
    <row r="11" spans="1:4" x14ac:dyDescent="0.25">
      <c r="A11" s="6" t="s">
        <v>45</v>
      </c>
      <c r="B11" s="218" t="s">
        <v>45</v>
      </c>
      <c r="D11" s="212" t="s">
        <v>334</v>
      </c>
    </row>
    <row r="12" spans="1:4" x14ac:dyDescent="0.25">
      <c r="A12" s="6" t="s">
        <v>331</v>
      </c>
      <c r="B12" s="218" t="s">
        <v>331</v>
      </c>
      <c r="D12" s="212" t="s">
        <v>334</v>
      </c>
    </row>
    <row r="13" spans="1:4" x14ac:dyDescent="0.25">
      <c r="A13" s="6" t="s">
        <v>26</v>
      </c>
      <c r="B13" s="219" t="s">
        <v>333</v>
      </c>
      <c r="D13" s="213" t="s">
        <v>335</v>
      </c>
    </row>
    <row r="14" spans="1:4" x14ac:dyDescent="0.25">
      <c r="A14" s="6" t="s">
        <v>27</v>
      </c>
      <c r="B14" s="219" t="s">
        <v>332</v>
      </c>
      <c r="D14" s="213" t="s">
        <v>335</v>
      </c>
    </row>
    <row r="15" spans="1:4" ht="15.75" customHeight="1" x14ac:dyDescent="0.25">
      <c r="A15" s="52" t="s">
        <v>285</v>
      </c>
      <c r="B15" s="56"/>
      <c r="C15" s="98"/>
    </row>
    <row r="16" spans="1:4" x14ac:dyDescent="0.25">
      <c r="A16" s="5" t="s">
        <v>271</v>
      </c>
      <c r="B16" s="55" t="s">
        <v>6</v>
      </c>
      <c r="C16" s="98"/>
    </row>
    <row r="17" spans="1:3" x14ac:dyDescent="0.25">
      <c r="A17" s="5" t="s">
        <v>272</v>
      </c>
      <c r="B17" s="55" t="s">
        <v>7</v>
      </c>
      <c r="C17" s="98"/>
    </row>
    <row r="18" spans="1:3" x14ac:dyDescent="0.25">
      <c r="A18" s="5" t="s">
        <v>273</v>
      </c>
      <c r="B18" s="55" t="s">
        <v>8</v>
      </c>
      <c r="C18" s="98"/>
    </row>
    <row r="19" spans="1:3" x14ac:dyDescent="0.25">
      <c r="A19" s="5" t="s">
        <v>274</v>
      </c>
      <c r="B19" s="55" t="s">
        <v>9</v>
      </c>
      <c r="C19" s="98"/>
    </row>
    <row r="20" spans="1:3" x14ac:dyDescent="0.25">
      <c r="A20" s="5" t="s">
        <v>275</v>
      </c>
      <c r="B20" s="55" t="s">
        <v>10</v>
      </c>
      <c r="C20" s="98"/>
    </row>
    <row r="21" spans="1:3" x14ac:dyDescent="0.25">
      <c r="A21" s="5" t="s">
        <v>276</v>
      </c>
      <c r="B21" s="55" t="s">
        <v>11</v>
      </c>
      <c r="C21" s="98"/>
    </row>
    <row r="22" spans="1:3" x14ac:dyDescent="0.25">
      <c r="A22" s="5" t="s">
        <v>277</v>
      </c>
      <c r="B22" s="55" t="s">
        <v>12</v>
      </c>
      <c r="C22" s="98"/>
    </row>
    <row r="23" spans="1:3" x14ac:dyDescent="0.25">
      <c r="A23" s="5" t="s">
        <v>278</v>
      </c>
      <c r="B23" s="55" t="s">
        <v>13</v>
      </c>
      <c r="C23" s="98"/>
    </row>
    <row r="24" spans="1:3" x14ac:dyDescent="0.25">
      <c r="A24" s="5" t="s">
        <v>279</v>
      </c>
      <c r="B24" s="55" t="s">
        <v>14</v>
      </c>
      <c r="C24" s="98"/>
    </row>
    <row r="25" spans="1:3" x14ac:dyDescent="0.25">
      <c r="A25" s="5" t="s">
        <v>280</v>
      </c>
      <c r="B25" s="55" t="s">
        <v>15</v>
      </c>
      <c r="C25" s="98"/>
    </row>
    <row r="26" spans="1:3" x14ac:dyDescent="0.25">
      <c r="A26" s="5" t="s">
        <v>281</v>
      </c>
      <c r="B26" s="55" t="s">
        <v>16</v>
      </c>
      <c r="C26" s="98"/>
    </row>
    <row r="27" spans="1:3" x14ac:dyDescent="0.25">
      <c r="A27" s="5" t="s">
        <v>282</v>
      </c>
      <c r="B27" s="55" t="s">
        <v>17</v>
      </c>
      <c r="C27" s="98"/>
    </row>
    <row r="28" spans="1:3" x14ac:dyDescent="0.25">
      <c r="A28" s="5" t="s">
        <v>283</v>
      </c>
      <c r="B28" s="55" t="s">
        <v>18</v>
      </c>
      <c r="C28" s="98"/>
    </row>
    <row r="29" spans="1:3" x14ac:dyDescent="0.25">
      <c r="A29" s="5" t="s">
        <v>284</v>
      </c>
      <c r="B29" s="55" t="s">
        <v>19</v>
      </c>
      <c r="C29" s="98"/>
    </row>
    <row r="30" spans="1:3" x14ac:dyDescent="0.25">
      <c r="A30" s="5" t="s">
        <v>32</v>
      </c>
      <c r="B30" s="55" t="s">
        <v>115</v>
      </c>
      <c r="C30" s="98"/>
    </row>
    <row r="31" spans="1:3" x14ac:dyDescent="0.25">
      <c r="A31" s="4" t="s">
        <v>36</v>
      </c>
      <c r="B31" s="1"/>
      <c r="C31" s="98"/>
    </row>
    <row r="32" spans="1:3" x14ac:dyDescent="0.25">
      <c r="A32" s="5" t="s">
        <v>286</v>
      </c>
      <c r="B32" s="55">
        <v>1</v>
      </c>
      <c r="C32" s="98"/>
    </row>
    <row r="33" spans="1:4" x14ac:dyDescent="0.25">
      <c r="A33" s="53" t="s">
        <v>287</v>
      </c>
      <c r="B33" s="55">
        <v>2</v>
      </c>
      <c r="C33" s="98"/>
    </row>
    <row r="34" spans="1:4" x14ac:dyDescent="0.25">
      <c r="A34" s="5" t="s">
        <v>32</v>
      </c>
      <c r="B34" s="55" t="s">
        <v>114</v>
      </c>
    </row>
    <row r="35" spans="1:4" x14ac:dyDescent="0.25">
      <c r="A35" s="4" t="s">
        <v>37</v>
      </c>
      <c r="B35" s="1"/>
      <c r="C35" s="98"/>
    </row>
    <row r="36" spans="1:4" ht="30" x14ac:dyDescent="0.25">
      <c r="A36" s="197" t="s">
        <v>288</v>
      </c>
      <c r="B36" s="57">
        <v>1</v>
      </c>
      <c r="C36" s="98"/>
    </row>
    <row r="37" spans="1:4" x14ac:dyDescent="0.25">
      <c r="A37" s="5" t="s">
        <v>38</v>
      </c>
      <c r="B37" s="57">
        <v>2</v>
      </c>
      <c r="C37" s="98"/>
    </row>
    <row r="38" spans="1:4" x14ac:dyDescent="0.25">
      <c r="A38" s="5" t="s">
        <v>32</v>
      </c>
      <c r="B38" s="57" t="s">
        <v>114</v>
      </c>
    </row>
    <row r="39" spans="1:4" x14ac:dyDescent="0.25">
      <c r="A39" s="4" t="s">
        <v>289</v>
      </c>
      <c r="B39" s="1"/>
      <c r="C39" s="98"/>
    </row>
    <row r="40" spans="1:4" x14ac:dyDescent="0.25">
      <c r="A40" s="53" t="s">
        <v>39</v>
      </c>
      <c r="B40" s="57">
        <v>1</v>
      </c>
      <c r="C40" s="98"/>
    </row>
    <row r="41" spans="1:4" x14ac:dyDescent="0.25">
      <c r="A41" s="53" t="s">
        <v>40</v>
      </c>
      <c r="B41" s="57">
        <v>2</v>
      </c>
      <c r="C41" s="98"/>
    </row>
    <row r="42" spans="1:4" x14ac:dyDescent="0.25">
      <c r="A42" s="53" t="s">
        <v>290</v>
      </c>
      <c r="B42" s="57">
        <v>3</v>
      </c>
      <c r="C42" s="98"/>
    </row>
    <row r="43" spans="1:4" x14ac:dyDescent="0.25">
      <c r="A43" s="53" t="s">
        <v>41</v>
      </c>
      <c r="B43" s="57">
        <v>4</v>
      </c>
      <c r="C43" s="98"/>
    </row>
    <row r="44" spans="1:4" x14ac:dyDescent="0.25">
      <c r="A44" s="53" t="s">
        <v>291</v>
      </c>
      <c r="B44" s="57">
        <v>5</v>
      </c>
      <c r="C44" s="98"/>
    </row>
    <row r="45" spans="1:4" x14ac:dyDescent="0.25">
      <c r="A45" s="53" t="s">
        <v>32</v>
      </c>
      <c r="B45" s="57" t="s">
        <v>114</v>
      </c>
      <c r="C45" s="98"/>
    </row>
    <row r="46" spans="1:4" x14ac:dyDescent="0.25">
      <c r="A46" s="4" t="s">
        <v>35</v>
      </c>
      <c r="B46" s="58"/>
      <c r="C46" s="98"/>
      <c r="D46" s="256" t="s">
        <v>417</v>
      </c>
    </row>
    <row r="47" spans="1:4" x14ac:dyDescent="0.25">
      <c r="A47" s="53" t="s">
        <v>304</v>
      </c>
      <c r="B47" s="260">
        <v>1</v>
      </c>
      <c r="C47" s="98"/>
      <c r="D47" s="261" t="s">
        <v>419</v>
      </c>
    </row>
    <row r="48" spans="1:4" x14ac:dyDescent="0.25">
      <c r="A48" s="53" t="s">
        <v>303</v>
      </c>
      <c r="B48" s="260">
        <v>2</v>
      </c>
      <c r="C48" s="98"/>
      <c r="D48" s="261" t="s">
        <v>419</v>
      </c>
    </row>
    <row r="49" spans="1:4" x14ac:dyDescent="0.25">
      <c r="A49" s="53" t="s">
        <v>305</v>
      </c>
      <c r="B49" s="257">
        <v>3</v>
      </c>
      <c r="C49" s="98"/>
      <c r="D49" s="259" t="s">
        <v>418</v>
      </c>
    </row>
    <row r="50" spans="1:4" x14ac:dyDescent="0.25">
      <c r="A50" s="53" t="s">
        <v>302</v>
      </c>
      <c r="B50" s="257">
        <v>4</v>
      </c>
      <c r="C50" s="98"/>
      <c r="D50" s="258" t="s">
        <v>420</v>
      </c>
    </row>
    <row r="51" spans="1:4" x14ac:dyDescent="0.25">
      <c r="A51" s="53" t="s">
        <v>32</v>
      </c>
      <c r="B51" s="57" t="s">
        <v>114</v>
      </c>
      <c r="C51" s="98"/>
    </row>
    <row r="52" spans="1:4" x14ac:dyDescent="0.25">
      <c r="A52" s="4" t="s">
        <v>357</v>
      </c>
      <c r="B52" s="57"/>
      <c r="C52" s="98"/>
    </row>
    <row r="53" spans="1:4" x14ac:dyDescent="0.25">
      <c r="A53" s="193" t="s">
        <v>306</v>
      </c>
      <c r="B53" s="57">
        <v>1</v>
      </c>
      <c r="C53" s="98"/>
    </row>
    <row r="54" spans="1:4" x14ac:dyDescent="0.25">
      <c r="A54" s="198" t="s">
        <v>121</v>
      </c>
      <c r="B54" s="57">
        <v>2</v>
      </c>
      <c r="C54" s="98"/>
    </row>
    <row r="55" spans="1:4" x14ac:dyDescent="0.25">
      <c r="A55" s="4" t="s">
        <v>120</v>
      </c>
      <c r="B55" s="57"/>
      <c r="C55" s="98"/>
    </row>
    <row r="56" spans="1:4" x14ac:dyDescent="0.25">
      <c r="A56" s="5" t="s">
        <v>96</v>
      </c>
      <c r="B56" s="57">
        <v>1</v>
      </c>
      <c r="C56" s="98"/>
    </row>
    <row r="57" spans="1:4" x14ac:dyDescent="0.25">
      <c r="A57" s="5" t="s">
        <v>43</v>
      </c>
      <c r="B57" s="57">
        <v>0</v>
      </c>
    </row>
    <row r="58" spans="1:4" x14ac:dyDescent="0.25">
      <c r="A58" s="52" t="s">
        <v>329</v>
      </c>
      <c r="B58" s="57"/>
      <c r="C58" s="98"/>
    </row>
    <row r="59" spans="1:4" x14ac:dyDescent="0.25">
      <c r="A59" s="230" t="s">
        <v>350</v>
      </c>
      <c r="B59" s="57"/>
      <c r="C59" s="98"/>
    </row>
    <row r="60" spans="1:4" x14ac:dyDescent="0.25">
      <c r="A60" s="228" t="s">
        <v>87</v>
      </c>
      <c r="B60" s="57">
        <v>1</v>
      </c>
      <c r="C60" s="98"/>
    </row>
    <row r="61" spans="1:4" x14ac:dyDescent="0.25">
      <c r="A61" s="227" t="s">
        <v>308</v>
      </c>
      <c r="B61" s="57">
        <v>2</v>
      </c>
      <c r="C61" s="98"/>
    </row>
    <row r="62" spans="1:4" x14ac:dyDescent="0.25">
      <c r="A62" s="227" t="s">
        <v>309</v>
      </c>
      <c r="B62" s="57">
        <v>3</v>
      </c>
      <c r="C62" s="98"/>
    </row>
    <row r="63" spans="1:4" x14ac:dyDescent="0.25">
      <c r="A63" s="228" t="s">
        <v>32</v>
      </c>
      <c r="B63" s="57" t="s">
        <v>114</v>
      </c>
      <c r="C63" s="98"/>
    </row>
    <row r="64" spans="1:4" x14ac:dyDescent="0.25">
      <c r="A64" s="231" t="s">
        <v>349</v>
      </c>
      <c r="B64" s="57"/>
      <c r="C64" s="98"/>
    </row>
    <row r="65" spans="1:3" x14ac:dyDescent="0.25">
      <c r="A65" s="227" t="s">
        <v>307</v>
      </c>
      <c r="B65" s="57">
        <v>4</v>
      </c>
      <c r="C65" s="98"/>
    </row>
    <row r="66" spans="1:3" x14ac:dyDescent="0.25">
      <c r="A66" s="229" t="s">
        <v>32</v>
      </c>
      <c r="B66" s="57" t="s">
        <v>114</v>
      </c>
      <c r="C66" s="98"/>
    </row>
    <row r="67" spans="1:3" x14ac:dyDescent="0.25">
      <c r="A67" s="52" t="s">
        <v>347</v>
      </c>
      <c r="B67" s="57"/>
      <c r="C67" s="98"/>
    </row>
    <row r="68" spans="1:3" x14ac:dyDescent="0.25">
      <c r="A68" s="232" t="s">
        <v>355</v>
      </c>
      <c r="B68" s="57"/>
      <c r="C68" s="98"/>
    </row>
    <row r="69" spans="1:3" x14ac:dyDescent="0.25">
      <c r="A69" s="228" t="s">
        <v>300</v>
      </c>
      <c r="B69" s="57">
        <v>1</v>
      </c>
      <c r="C69" s="98"/>
    </row>
    <row r="70" spans="1:3" x14ac:dyDescent="0.25">
      <c r="A70" s="228" t="s">
        <v>299</v>
      </c>
      <c r="B70" s="57">
        <v>2</v>
      </c>
      <c r="C70" s="98"/>
    </row>
    <row r="71" spans="1:3" x14ac:dyDescent="0.25">
      <c r="A71" s="228" t="s">
        <v>297</v>
      </c>
      <c r="B71" s="57">
        <v>3</v>
      </c>
      <c r="C71" s="98"/>
    </row>
    <row r="72" spans="1:3" x14ac:dyDescent="0.25">
      <c r="A72" s="228" t="s">
        <v>294</v>
      </c>
      <c r="B72" s="57">
        <v>4</v>
      </c>
      <c r="C72" s="98"/>
    </row>
    <row r="73" spans="1:3" x14ac:dyDescent="0.25">
      <c r="A73" s="233" t="s">
        <v>356</v>
      </c>
      <c r="B73" s="57"/>
      <c r="C73" s="98"/>
    </row>
    <row r="74" spans="1:3" x14ac:dyDescent="0.25">
      <c r="A74" s="228" t="s">
        <v>351</v>
      </c>
      <c r="B74" s="57">
        <v>5</v>
      </c>
      <c r="C74" s="98"/>
    </row>
    <row r="75" spans="1:3" x14ac:dyDescent="0.25">
      <c r="A75" s="228" t="s">
        <v>352</v>
      </c>
      <c r="B75" s="57">
        <v>6</v>
      </c>
      <c r="C75" s="98"/>
    </row>
    <row r="76" spans="1:3" x14ac:dyDescent="0.25">
      <c r="A76" s="228" t="s">
        <v>353</v>
      </c>
      <c r="B76" s="57">
        <v>7</v>
      </c>
      <c r="C76" s="98"/>
    </row>
    <row r="77" spans="1:3" x14ac:dyDescent="0.25">
      <c r="A77" s="229" t="s">
        <v>354</v>
      </c>
      <c r="B77" s="57">
        <v>8</v>
      </c>
      <c r="C77" s="98"/>
    </row>
    <row r="78" spans="1:3" x14ac:dyDescent="0.25">
      <c r="A78" s="52" t="s">
        <v>344</v>
      </c>
      <c r="B78" s="58"/>
      <c r="C78" s="98"/>
    </row>
    <row r="79" spans="1:3" x14ac:dyDescent="0.25">
      <c r="A79" s="10" t="s">
        <v>348</v>
      </c>
      <c r="B79" s="57">
        <v>1</v>
      </c>
      <c r="C79" s="98"/>
    </row>
    <row r="80" spans="1:3" x14ac:dyDescent="0.25">
      <c r="A80" s="5" t="s">
        <v>32</v>
      </c>
      <c r="B80" s="57" t="s">
        <v>114</v>
      </c>
    </row>
    <row r="81" spans="1:3" x14ac:dyDescent="0.25">
      <c r="A81" s="52" t="s">
        <v>408</v>
      </c>
      <c r="B81" s="57"/>
    </row>
    <row r="82" spans="1:3" x14ac:dyDescent="0.25">
      <c r="A82" s="5" t="s">
        <v>409</v>
      </c>
      <c r="B82" s="57">
        <v>1</v>
      </c>
    </row>
    <row r="83" spans="1:3" x14ac:dyDescent="0.25">
      <c r="A83" s="6" t="s">
        <v>410</v>
      </c>
      <c r="B83" s="57">
        <v>2</v>
      </c>
    </row>
    <row r="84" spans="1:3" x14ac:dyDescent="0.25">
      <c r="A84" s="52" t="s">
        <v>358</v>
      </c>
      <c r="B84" s="57"/>
      <c r="C84" s="98"/>
    </row>
    <row r="85" spans="1:3" x14ac:dyDescent="0.25">
      <c r="A85" s="5" t="s">
        <v>122</v>
      </c>
      <c r="B85" s="57">
        <v>1</v>
      </c>
      <c r="C85" s="98"/>
    </row>
    <row r="86" spans="1:3" x14ac:dyDescent="0.25">
      <c r="A86" s="6" t="s">
        <v>32</v>
      </c>
      <c r="B86" s="57" t="s">
        <v>114</v>
      </c>
      <c r="C86" s="98"/>
    </row>
    <row r="87" spans="1:3" x14ac:dyDescent="0.25">
      <c r="A87" s="52" t="s">
        <v>95</v>
      </c>
      <c r="B87" s="57"/>
      <c r="C87" s="98"/>
    </row>
    <row r="88" spans="1:3" x14ac:dyDescent="0.25">
      <c r="A88" s="53" t="s">
        <v>43</v>
      </c>
      <c r="B88" s="57">
        <v>0</v>
      </c>
      <c r="C88" s="98"/>
    </row>
    <row r="89" spans="1:3" x14ac:dyDescent="0.25">
      <c r="A89" s="53" t="s">
        <v>172</v>
      </c>
      <c r="B89" s="57">
        <v>1</v>
      </c>
      <c r="C89" s="98"/>
    </row>
    <row r="90" spans="1:3" x14ac:dyDescent="0.25">
      <c r="A90" s="4" t="s">
        <v>88</v>
      </c>
      <c r="B90" s="58"/>
      <c r="C90" s="98"/>
    </row>
    <row r="91" spans="1:3" x14ac:dyDescent="0.25">
      <c r="A91" s="44" t="s">
        <v>110</v>
      </c>
      <c r="B91" s="57">
        <v>0</v>
      </c>
      <c r="C91" s="98"/>
    </row>
    <row r="92" spans="1:3" x14ac:dyDescent="0.25">
      <c r="A92" s="6" t="s">
        <v>253</v>
      </c>
      <c r="B92" s="57">
        <v>1</v>
      </c>
      <c r="C92" s="98"/>
    </row>
    <row r="93" spans="1:3" x14ac:dyDescent="0.25">
      <c r="A93" s="6" t="s">
        <v>83</v>
      </c>
      <c r="B93" s="57">
        <v>2</v>
      </c>
      <c r="C93" s="98"/>
    </row>
    <row r="94" spans="1:3" x14ac:dyDescent="0.25">
      <c r="A94" s="6" t="s">
        <v>84</v>
      </c>
      <c r="B94" s="57">
        <v>3</v>
      </c>
      <c r="C94" s="98"/>
    </row>
    <row r="95" spans="1:3" x14ac:dyDescent="0.25">
      <c r="A95" s="10" t="s">
        <v>365</v>
      </c>
      <c r="B95" s="57">
        <v>4</v>
      </c>
      <c r="C95" s="98"/>
    </row>
    <row r="96" spans="1:3" x14ac:dyDescent="0.25">
      <c r="A96" s="10" t="s">
        <v>366</v>
      </c>
      <c r="B96" s="57">
        <v>5</v>
      </c>
      <c r="C96" s="98"/>
    </row>
    <row r="97" spans="1:4" x14ac:dyDescent="0.25">
      <c r="A97" s="10" t="s">
        <v>367</v>
      </c>
      <c r="B97" s="57">
        <v>6</v>
      </c>
      <c r="C97" s="98"/>
    </row>
    <row r="98" spans="1:4" x14ac:dyDescent="0.25">
      <c r="A98" s="10" t="s">
        <v>368</v>
      </c>
      <c r="B98" s="57">
        <v>7</v>
      </c>
      <c r="C98" s="98"/>
    </row>
    <row r="99" spans="1:4" x14ac:dyDescent="0.25">
      <c r="A99" s="10" t="s">
        <v>369</v>
      </c>
      <c r="B99" s="57">
        <v>8</v>
      </c>
      <c r="C99" s="98"/>
    </row>
    <row r="100" spans="1:4" x14ac:dyDescent="0.25">
      <c r="A100" s="10" t="s">
        <v>32</v>
      </c>
      <c r="B100" s="57" t="s">
        <v>114</v>
      </c>
      <c r="C100" s="98"/>
    </row>
    <row r="101" spans="1:4" x14ac:dyDescent="0.25">
      <c r="A101" s="4" t="s">
        <v>97</v>
      </c>
      <c r="B101" s="55"/>
      <c r="C101" s="98"/>
    </row>
    <row r="102" spans="1:4" x14ac:dyDescent="0.25">
      <c r="A102" s="6" t="s">
        <v>50</v>
      </c>
      <c r="B102" s="55">
        <v>0</v>
      </c>
      <c r="C102" s="98"/>
    </row>
    <row r="103" spans="1:4" x14ac:dyDescent="0.25">
      <c r="A103" s="6" t="s">
        <v>71</v>
      </c>
      <c r="B103" s="57">
        <v>1</v>
      </c>
      <c r="C103" s="98"/>
      <c r="D103" s="244" t="s">
        <v>401</v>
      </c>
    </row>
    <row r="104" spans="1:4" x14ac:dyDescent="0.25">
      <c r="A104" s="6" t="s">
        <v>32</v>
      </c>
      <c r="B104" s="57" t="s">
        <v>114</v>
      </c>
      <c r="C104" s="98"/>
    </row>
    <row r="105" spans="1:4" x14ac:dyDescent="0.25">
      <c r="A105" s="4" t="s">
        <v>370</v>
      </c>
      <c r="B105" s="57"/>
      <c r="C105" s="98"/>
    </row>
    <row r="106" spans="1:4" x14ac:dyDescent="0.25">
      <c r="A106" s="44" t="s">
        <v>371</v>
      </c>
      <c r="B106" s="55" t="s">
        <v>102</v>
      </c>
      <c r="C106" s="98"/>
    </row>
    <row r="107" spans="1:4" x14ac:dyDescent="0.25">
      <c r="A107" s="6" t="s">
        <v>372</v>
      </c>
      <c r="B107" s="55" t="s">
        <v>6</v>
      </c>
      <c r="C107" s="98"/>
    </row>
    <row r="108" spans="1:4" x14ac:dyDescent="0.25">
      <c r="A108" s="6" t="s">
        <v>373</v>
      </c>
      <c r="B108" s="55" t="s">
        <v>7</v>
      </c>
      <c r="C108" s="98"/>
    </row>
    <row r="109" spans="1:4" x14ac:dyDescent="0.25">
      <c r="A109" s="6" t="s">
        <v>374</v>
      </c>
      <c r="B109" s="55" t="s">
        <v>8</v>
      </c>
      <c r="C109" s="98"/>
    </row>
    <row r="110" spans="1:4" x14ac:dyDescent="0.25">
      <c r="A110" s="6" t="s">
        <v>375</v>
      </c>
      <c r="B110" s="55" t="s">
        <v>9</v>
      </c>
      <c r="C110" s="98"/>
    </row>
    <row r="111" spans="1:4" x14ac:dyDescent="0.25">
      <c r="A111" s="10" t="s">
        <v>376</v>
      </c>
      <c r="B111" s="55" t="s">
        <v>10</v>
      </c>
      <c r="C111" s="98"/>
    </row>
    <row r="112" spans="1:4" x14ac:dyDescent="0.25">
      <c r="A112" s="10" t="s">
        <v>377</v>
      </c>
      <c r="B112" s="55" t="s">
        <v>11</v>
      </c>
      <c r="C112" s="98"/>
    </row>
    <row r="113" spans="1:3" x14ac:dyDescent="0.25">
      <c r="A113" s="10" t="s">
        <v>378</v>
      </c>
      <c r="B113" s="55" t="s">
        <v>12</v>
      </c>
      <c r="C113" s="98"/>
    </row>
    <row r="114" spans="1:3" x14ac:dyDescent="0.25">
      <c r="A114" s="10" t="s">
        <v>379</v>
      </c>
      <c r="B114" s="55" t="s">
        <v>13</v>
      </c>
      <c r="C114" s="98"/>
    </row>
    <row r="115" spans="1:3" x14ac:dyDescent="0.25">
      <c r="A115" s="10" t="s">
        <v>380</v>
      </c>
      <c r="B115" s="55" t="s">
        <v>14</v>
      </c>
      <c r="C115" s="98"/>
    </row>
    <row r="116" spans="1:3" x14ac:dyDescent="0.25">
      <c r="A116" s="10" t="s">
        <v>381</v>
      </c>
      <c r="B116" s="55" t="s">
        <v>15</v>
      </c>
      <c r="C116" s="98"/>
    </row>
    <row r="117" spans="1:3" x14ac:dyDescent="0.25">
      <c r="A117" s="10" t="s">
        <v>382</v>
      </c>
      <c r="B117" s="55" t="s">
        <v>16</v>
      </c>
      <c r="C117" s="98"/>
    </row>
    <row r="118" spans="1:3" x14ac:dyDescent="0.25">
      <c r="A118" s="10" t="s">
        <v>383</v>
      </c>
      <c r="B118" s="55" t="s">
        <v>17</v>
      </c>
      <c r="C118" s="98"/>
    </row>
    <row r="119" spans="1:3" x14ac:dyDescent="0.25">
      <c r="A119" s="10" t="s">
        <v>384</v>
      </c>
      <c r="B119" s="55" t="s">
        <v>18</v>
      </c>
      <c r="C119" s="98"/>
    </row>
    <row r="120" spans="1:3" x14ac:dyDescent="0.25">
      <c r="A120" s="10" t="s">
        <v>32</v>
      </c>
      <c r="B120" s="57" t="s">
        <v>115</v>
      </c>
      <c r="C120" s="98"/>
    </row>
    <row r="121" spans="1:3" x14ac:dyDescent="0.25">
      <c r="A121" s="4" t="s">
        <v>361</v>
      </c>
      <c r="B121" s="55"/>
      <c r="C121" s="98"/>
    </row>
    <row r="122" spans="1:3" x14ac:dyDescent="0.25">
      <c r="A122" s="10" t="s">
        <v>153</v>
      </c>
      <c r="B122" s="55" t="s">
        <v>6</v>
      </c>
      <c r="C122" s="98"/>
    </row>
    <row r="123" spans="1:3" x14ac:dyDescent="0.25">
      <c r="A123" s="10" t="s">
        <v>156</v>
      </c>
      <c r="B123" s="55" t="s">
        <v>7</v>
      </c>
      <c r="C123" s="98"/>
    </row>
    <row r="124" spans="1:3" x14ac:dyDescent="0.25">
      <c r="A124" s="10" t="s">
        <v>385</v>
      </c>
      <c r="B124" s="55" t="s">
        <v>8</v>
      </c>
      <c r="C124" s="98"/>
    </row>
    <row r="125" spans="1:3" x14ac:dyDescent="0.25">
      <c r="A125" s="10" t="s">
        <v>247</v>
      </c>
      <c r="B125" s="55" t="s">
        <v>9</v>
      </c>
      <c r="C125" s="98"/>
    </row>
    <row r="126" spans="1:3" x14ac:dyDescent="0.25">
      <c r="A126" s="10" t="s">
        <v>176</v>
      </c>
      <c r="B126" s="55" t="s">
        <v>10</v>
      </c>
      <c r="C126" s="98"/>
    </row>
    <row r="127" spans="1:3" x14ac:dyDescent="0.25">
      <c r="A127" s="10" t="s">
        <v>386</v>
      </c>
      <c r="B127" s="55" t="s">
        <v>11</v>
      </c>
      <c r="C127" s="98"/>
    </row>
    <row r="128" spans="1:3" x14ac:dyDescent="0.25">
      <c r="A128" s="10" t="s">
        <v>157</v>
      </c>
      <c r="B128" s="55" t="s">
        <v>12</v>
      </c>
      <c r="C128" s="98"/>
    </row>
    <row r="129" spans="1:3" x14ac:dyDescent="0.25">
      <c r="A129" s="10" t="s">
        <v>154</v>
      </c>
      <c r="B129" s="55" t="s">
        <v>13</v>
      </c>
      <c r="C129" s="98"/>
    </row>
    <row r="130" spans="1:3" x14ac:dyDescent="0.25">
      <c r="A130" s="10" t="s">
        <v>155</v>
      </c>
      <c r="B130" s="55" t="s">
        <v>14</v>
      </c>
      <c r="C130" s="98"/>
    </row>
    <row r="131" spans="1:3" x14ac:dyDescent="0.25">
      <c r="A131" s="10" t="s">
        <v>177</v>
      </c>
      <c r="B131" s="55" t="s">
        <v>15</v>
      </c>
      <c r="C131" s="98"/>
    </row>
    <row r="132" spans="1:3" x14ac:dyDescent="0.25">
      <c r="A132" s="10" t="s">
        <v>160</v>
      </c>
      <c r="B132" s="55" t="s">
        <v>16</v>
      </c>
      <c r="C132" s="98"/>
    </row>
    <row r="133" spans="1:3" x14ac:dyDescent="0.25">
      <c r="A133" s="10" t="s">
        <v>159</v>
      </c>
      <c r="B133" s="55" t="s">
        <v>17</v>
      </c>
      <c r="C133" s="98"/>
    </row>
    <row r="134" spans="1:3" x14ac:dyDescent="0.25">
      <c r="A134" s="10" t="s">
        <v>158</v>
      </c>
      <c r="B134" s="55" t="s">
        <v>18</v>
      </c>
      <c r="C134" s="98"/>
    </row>
    <row r="135" spans="1:3" x14ac:dyDescent="0.25">
      <c r="A135" s="10" t="s">
        <v>32</v>
      </c>
      <c r="B135" s="55" t="s">
        <v>115</v>
      </c>
      <c r="C135" s="98"/>
    </row>
    <row r="136" spans="1:3" x14ac:dyDescent="0.25">
      <c r="A136" s="4" t="s">
        <v>362</v>
      </c>
      <c r="B136" s="55"/>
      <c r="C136" s="98"/>
    </row>
    <row r="137" spans="1:3" x14ac:dyDescent="0.25">
      <c r="A137" s="10" t="s">
        <v>48</v>
      </c>
      <c r="B137" s="55" t="s">
        <v>6</v>
      </c>
      <c r="C137" s="98"/>
    </row>
    <row r="138" spans="1:3" x14ac:dyDescent="0.25">
      <c r="A138" s="10" t="s">
        <v>49</v>
      </c>
      <c r="B138" s="55" t="s">
        <v>7</v>
      </c>
      <c r="C138" s="98"/>
    </row>
    <row r="139" spans="1:3" x14ac:dyDescent="0.25">
      <c r="A139" s="10" t="s">
        <v>139</v>
      </c>
      <c r="B139" s="55" t="s">
        <v>8</v>
      </c>
      <c r="C139" s="98"/>
    </row>
    <row r="140" spans="1:3" x14ac:dyDescent="0.25">
      <c r="A140" s="10" t="s">
        <v>178</v>
      </c>
      <c r="B140" s="55" t="s">
        <v>9</v>
      </c>
      <c r="C140" s="98"/>
    </row>
    <row r="141" spans="1:3" x14ac:dyDescent="0.25">
      <c r="A141" s="10" t="s">
        <v>179</v>
      </c>
      <c r="B141" s="55" t="s">
        <v>10</v>
      </c>
      <c r="C141" s="98"/>
    </row>
    <row r="142" spans="1:3" x14ac:dyDescent="0.25">
      <c r="A142" s="10" t="s">
        <v>113</v>
      </c>
      <c r="B142" s="55" t="s">
        <v>11</v>
      </c>
      <c r="C142" s="98"/>
    </row>
    <row r="143" spans="1:3" x14ac:dyDescent="0.25">
      <c r="A143" s="10" t="s">
        <v>248</v>
      </c>
      <c r="B143" s="55" t="s">
        <v>12</v>
      </c>
      <c r="C143" s="98"/>
    </row>
    <row r="144" spans="1:3" x14ac:dyDescent="0.25">
      <c r="A144" s="10" t="s">
        <v>144</v>
      </c>
      <c r="B144" s="55" t="s">
        <v>13</v>
      </c>
      <c r="C144" s="98"/>
    </row>
    <row r="145" spans="1:3" x14ac:dyDescent="0.25">
      <c r="A145" s="10" t="s">
        <v>145</v>
      </c>
      <c r="B145" s="55" t="s">
        <v>14</v>
      </c>
      <c r="C145" s="98"/>
    </row>
    <row r="146" spans="1:3" x14ac:dyDescent="0.25">
      <c r="A146" s="10" t="s">
        <v>146</v>
      </c>
      <c r="B146" s="55" t="s">
        <v>15</v>
      </c>
      <c r="C146" s="98"/>
    </row>
    <row r="147" spans="1:3" x14ac:dyDescent="0.25">
      <c r="A147" s="10" t="s">
        <v>147</v>
      </c>
      <c r="B147" s="55" t="s">
        <v>16</v>
      </c>
      <c r="C147" s="98"/>
    </row>
    <row r="148" spans="1:3" x14ac:dyDescent="0.25">
      <c r="A148" s="10" t="s">
        <v>148</v>
      </c>
      <c r="B148" s="55" t="s">
        <v>17</v>
      </c>
      <c r="C148" s="98"/>
    </row>
    <row r="149" spans="1:3" x14ac:dyDescent="0.25">
      <c r="A149" s="10" t="s">
        <v>180</v>
      </c>
      <c r="B149" s="55" t="s">
        <v>18</v>
      </c>
      <c r="C149" s="98"/>
    </row>
    <row r="150" spans="1:3" x14ac:dyDescent="0.25">
      <c r="A150" s="10" t="s">
        <v>181</v>
      </c>
      <c r="B150" s="55" t="s">
        <v>19</v>
      </c>
      <c r="C150" s="98"/>
    </row>
    <row r="151" spans="1:3" x14ac:dyDescent="0.25">
      <c r="A151" s="10" t="s">
        <v>182</v>
      </c>
      <c r="B151" s="55" t="s">
        <v>20</v>
      </c>
      <c r="C151" s="98"/>
    </row>
    <row r="152" spans="1:3" x14ac:dyDescent="0.25">
      <c r="A152" s="10" t="s">
        <v>183</v>
      </c>
      <c r="B152" s="55" t="s">
        <v>21</v>
      </c>
      <c r="C152" s="98"/>
    </row>
    <row r="153" spans="1:3" x14ac:dyDescent="0.25">
      <c r="A153" s="10" t="s">
        <v>184</v>
      </c>
      <c r="B153" s="55" t="s">
        <v>22</v>
      </c>
      <c r="C153" s="98"/>
    </row>
    <row r="154" spans="1:3" x14ac:dyDescent="0.25">
      <c r="A154" s="10" t="s">
        <v>149</v>
      </c>
      <c r="B154" s="55" t="s">
        <v>23</v>
      </c>
      <c r="C154" s="98"/>
    </row>
    <row r="155" spans="1:3" x14ac:dyDescent="0.25">
      <c r="A155" s="10" t="s">
        <v>150</v>
      </c>
      <c r="B155" s="55" t="s">
        <v>24</v>
      </c>
      <c r="C155" s="98"/>
    </row>
    <row r="156" spans="1:3" x14ac:dyDescent="0.25">
      <c r="A156" s="10" t="s">
        <v>151</v>
      </c>
      <c r="B156" s="55" t="s">
        <v>25</v>
      </c>
      <c r="C156" s="98"/>
    </row>
    <row r="157" spans="1:3" x14ac:dyDescent="0.25">
      <c r="A157" s="10" t="s">
        <v>152</v>
      </c>
      <c r="B157" s="55" t="s">
        <v>26</v>
      </c>
      <c r="C157" s="98"/>
    </row>
    <row r="158" spans="1:3" x14ac:dyDescent="0.25">
      <c r="A158" s="10" t="s">
        <v>140</v>
      </c>
      <c r="B158" s="55" t="s">
        <v>27</v>
      </c>
      <c r="C158" s="98"/>
    </row>
    <row r="159" spans="1:3" x14ac:dyDescent="0.25">
      <c r="A159" s="10" t="s">
        <v>141</v>
      </c>
      <c r="B159" s="55" t="s">
        <v>28</v>
      </c>
      <c r="C159" s="98"/>
    </row>
    <row r="160" spans="1:3" x14ac:dyDescent="0.25">
      <c r="A160" s="10" t="s">
        <v>142</v>
      </c>
      <c r="B160" s="55" t="s">
        <v>29</v>
      </c>
      <c r="C160" s="98"/>
    </row>
    <row r="161" spans="1:3" x14ac:dyDescent="0.25">
      <c r="A161" s="10" t="s">
        <v>143</v>
      </c>
      <c r="B161" s="55" t="s">
        <v>30</v>
      </c>
      <c r="C161" s="98"/>
    </row>
    <row r="162" spans="1:3" x14ac:dyDescent="0.25">
      <c r="A162" s="10" t="s">
        <v>32</v>
      </c>
      <c r="B162" s="55" t="s">
        <v>115</v>
      </c>
      <c r="C162" s="98"/>
    </row>
    <row r="163" spans="1:3" x14ac:dyDescent="0.25">
      <c r="A163" s="4" t="s">
        <v>47</v>
      </c>
      <c r="B163" s="58"/>
      <c r="C163" s="98"/>
    </row>
    <row r="164" spans="1:3" x14ac:dyDescent="0.25">
      <c r="A164" s="6" t="s">
        <v>30</v>
      </c>
      <c r="B164" s="57">
        <v>1</v>
      </c>
      <c r="C164" s="98"/>
    </row>
    <row r="165" spans="1:3" x14ac:dyDescent="0.25">
      <c r="A165" s="6" t="s">
        <v>108</v>
      </c>
      <c r="B165" s="57">
        <v>2</v>
      </c>
      <c r="C165" s="98"/>
    </row>
    <row r="166" spans="1:3" x14ac:dyDescent="0.25">
      <c r="A166" s="6" t="s">
        <v>254</v>
      </c>
      <c r="B166" s="57">
        <v>3</v>
      </c>
      <c r="C166" s="98"/>
    </row>
    <row r="167" spans="1:3" x14ac:dyDescent="0.25">
      <c r="A167" s="6" t="s">
        <v>125</v>
      </c>
      <c r="B167" s="57">
        <v>4</v>
      </c>
      <c r="C167" s="98"/>
    </row>
    <row r="168" spans="1:3" x14ac:dyDescent="0.25">
      <c r="A168" s="6" t="s">
        <v>123</v>
      </c>
      <c r="B168" s="57">
        <v>5</v>
      </c>
      <c r="C168" s="98"/>
    </row>
    <row r="169" spans="1:3" x14ac:dyDescent="0.25">
      <c r="A169" s="6" t="s">
        <v>124</v>
      </c>
      <c r="B169" s="57">
        <v>6</v>
      </c>
      <c r="C169" s="98"/>
    </row>
    <row r="170" spans="1:3" x14ac:dyDescent="0.25">
      <c r="A170" s="6" t="s">
        <v>32</v>
      </c>
      <c r="B170" s="57" t="s">
        <v>114</v>
      </c>
      <c r="C170" s="98"/>
    </row>
    <row r="171" spans="1:3" x14ac:dyDescent="0.25">
      <c r="A171" s="4" t="s">
        <v>46</v>
      </c>
      <c r="C171" s="98"/>
    </row>
    <row r="172" spans="1:3" x14ac:dyDescent="0.25">
      <c r="A172" s="6" t="s">
        <v>387</v>
      </c>
      <c r="B172" s="57">
        <v>1</v>
      </c>
      <c r="C172" s="98"/>
    </row>
    <row r="173" spans="1:3" x14ac:dyDescent="0.25">
      <c r="A173" s="6" t="s">
        <v>388</v>
      </c>
      <c r="B173" s="57">
        <v>2</v>
      </c>
      <c r="C173" s="98"/>
    </row>
    <row r="174" spans="1:3" x14ac:dyDescent="0.25">
      <c r="A174" s="6" t="s">
        <v>32</v>
      </c>
      <c r="B174" s="57" t="s">
        <v>114</v>
      </c>
    </row>
    <row r="175" spans="1:3" x14ac:dyDescent="0.25">
      <c r="A175" s="52" t="s">
        <v>61</v>
      </c>
      <c r="B175" s="58"/>
      <c r="C175" s="98"/>
    </row>
    <row r="176" spans="1:3" x14ac:dyDescent="0.25">
      <c r="A176" s="7" t="s">
        <v>126</v>
      </c>
      <c r="B176" s="55" t="s">
        <v>6</v>
      </c>
      <c r="C176" s="98"/>
    </row>
    <row r="177" spans="1:3" x14ac:dyDescent="0.25">
      <c r="A177" s="7" t="s">
        <v>127</v>
      </c>
      <c r="B177" s="55" t="s">
        <v>7</v>
      </c>
      <c r="C177" s="98"/>
    </row>
    <row r="178" spans="1:3" x14ac:dyDescent="0.25">
      <c r="A178" s="7" t="s">
        <v>128</v>
      </c>
      <c r="B178" s="55" t="s">
        <v>8</v>
      </c>
      <c r="C178" s="98"/>
    </row>
    <row r="179" spans="1:3" x14ac:dyDescent="0.25">
      <c r="A179" s="7" t="s">
        <v>129</v>
      </c>
      <c r="B179" s="55" t="s">
        <v>9</v>
      </c>
      <c r="C179" s="98"/>
    </row>
    <row r="180" spans="1:3" x14ac:dyDescent="0.25">
      <c r="A180" s="7" t="s">
        <v>130</v>
      </c>
      <c r="B180" s="55" t="s">
        <v>10</v>
      </c>
      <c r="C180" s="98"/>
    </row>
    <row r="181" spans="1:3" x14ac:dyDescent="0.25">
      <c r="A181" s="7" t="s">
        <v>131</v>
      </c>
      <c r="B181" s="55" t="s">
        <v>11</v>
      </c>
      <c r="C181" s="98"/>
    </row>
    <row r="182" spans="1:3" x14ac:dyDescent="0.25">
      <c r="A182" s="7" t="s">
        <v>132</v>
      </c>
      <c r="B182" s="55" t="s">
        <v>12</v>
      </c>
      <c r="C182" s="98"/>
    </row>
    <row r="183" spans="1:3" x14ac:dyDescent="0.25">
      <c r="A183" s="7" t="s">
        <v>133</v>
      </c>
      <c r="B183" s="55" t="s">
        <v>13</v>
      </c>
      <c r="C183" s="98"/>
    </row>
    <row r="184" spans="1:3" x14ac:dyDescent="0.25">
      <c r="A184" s="7" t="s">
        <v>134</v>
      </c>
      <c r="B184" s="55" t="s">
        <v>14</v>
      </c>
      <c r="C184" s="98"/>
    </row>
    <row r="185" spans="1:3" x14ac:dyDescent="0.25">
      <c r="A185" s="7" t="s">
        <v>135</v>
      </c>
      <c r="B185" s="55" t="s">
        <v>15</v>
      </c>
      <c r="C185" s="98"/>
    </row>
    <row r="186" spans="1:3" x14ac:dyDescent="0.25">
      <c r="A186" s="7" t="s">
        <v>32</v>
      </c>
      <c r="B186" s="55" t="s">
        <v>115</v>
      </c>
      <c r="C186" s="98"/>
    </row>
    <row r="187" spans="1:3" x14ac:dyDescent="0.25">
      <c r="A187" s="4" t="s">
        <v>138</v>
      </c>
      <c r="B187" s="57"/>
      <c r="C187" s="98"/>
    </row>
    <row r="188" spans="1:3" x14ac:dyDescent="0.25">
      <c r="A188" s="6" t="s">
        <v>249</v>
      </c>
      <c r="B188" s="57">
        <v>1</v>
      </c>
      <c r="C188" s="98"/>
    </row>
    <row r="189" spans="1:3" x14ac:dyDescent="0.25">
      <c r="A189" s="6" t="s">
        <v>136</v>
      </c>
      <c r="B189" s="57">
        <v>2</v>
      </c>
      <c r="C189" s="98"/>
    </row>
    <row r="190" spans="1:3" x14ac:dyDescent="0.25">
      <c r="A190" s="6" t="s">
        <v>51</v>
      </c>
      <c r="B190" s="57">
        <v>3</v>
      </c>
      <c r="C190" s="98"/>
    </row>
    <row r="191" spans="1:3" x14ac:dyDescent="0.25">
      <c r="A191" s="6" t="s">
        <v>389</v>
      </c>
      <c r="B191" s="57">
        <v>4</v>
      </c>
      <c r="C191" s="98"/>
    </row>
    <row r="192" spans="1:3" x14ac:dyDescent="0.25">
      <c r="A192" s="6" t="s">
        <v>52</v>
      </c>
      <c r="B192" s="57">
        <v>5</v>
      </c>
      <c r="C192" s="98"/>
    </row>
    <row r="193" spans="1:4" x14ac:dyDescent="0.25">
      <c r="A193" s="6" t="s">
        <v>53</v>
      </c>
      <c r="B193" s="57">
        <v>6</v>
      </c>
      <c r="C193" s="98"/>
    </row>
    <row r="194" spans="1:4" x14ac:dyDescent="0.25">
      <c r="A194" s="52" t="s">
        <v>137</v>
      </c>
      <c r="B194" s="57"/>
      <c r="C194" s="98"/>
    </row>
    <row r="195" spans="1:4" x14ac:dyDescent="0.25">
      <c r="A195" s="10" t="s">
        <v>363</v>
      </c>
      <c r="B195" s="57">
        <v>1</v>
      </c>
      <c r="C195" s="98"/>
      <c r="D195" s="244" t="s">
        <v>364</v>
      </c>
    </row>
    <row r="196" spans="1:4" x14ac:dyDescent="0.25">
      <c r="A196" s="6" t="s">
        <v>32</v>
      </c>
      <c r="B196" s="57" t="s">
        <v>114</v>
      </c>
      <c r="C196" s="98"/>
    </row>
    <row r="197" spans="1:4" x14ac:dyDescent="0.25">
      <c r="A197" s="4" t="s">
        <v>161</v>
      </c>
      <c r="B197" s="57"/>
      <c r="C197" s="98"/>
    </row>
    <row r="198" spans="1:4" x14ac:dyDescent="0.25">
      <c r="A198" s="6" t="s">
        <v>54</v>
      </c>
      <c r="B198" s="55" t="s">
        <v>102</v>
      </c>
      <c r="C198" s="98"/>
    </row>
    <row r="199" spans="1:4" x14ac:dyDescent="0.25">
      <c r="A199" s="10" t="s">
        <v>250</v>
      </c>
      <c r="B199" s="55" t="s">
        <v>6</v>
      </c>
      <c r="C199" s="98"/>
      <c r="D199" s="244" t="s">
        <v>364</v>
      </c>
    </row>
    <row r="200" spans="1:4" ht="24.75" customHeight="1" x14ac:dyDescent="0.25">
      <c r="A200" s="10" t="s">
        <v>174</v>
      </c>
      <c r="B200" s="55" t="s">
        <v>162</v>
      </c>
      <c r="C200" s="98"/>
    </row>
    <row r="201" spans="1:4" x14ac:dyDescent="0.25">
      <c r="A201" s="10" t="s">
        <v>243</v>
      </c>
      <c r="B201" s="55" t="s">
        <v>8</v>
      </c>
      <c r="C201" s="98"/>
      <c r="D201" s="244" t="s">
        <v>364</v>
      </c>
    </row>
    <row r="202" spans="1:4" x14ac:dyDescent="0.25">
      <c r="A202" s="10" t="s">
        <v>175</v>
      </c>
      <c r="B202" s="55" t="s">
        <v>116</v>
      </c>
    </row>
    <row r="203" spans="1:4" x14ac:dyDescent="0.25">
      <c r="A203" s="4" t="s">
        <v>244</v>
      </c>
      <c r="B203" s="55"/>
      <c r="C203" s="98"/>
    </row>
    <row r="204" spans="1:4" x14ac:dyDescent="0.25">
      <c r="A204" s="10" t="s">
        <v>54</v>
      </c>
      <c r="B204" s="55" t="s">
        <v>102</v>
      </c>
      <c r="C204" s="98"/>
    </row>
    <row r="205" spans="1:4" x14ac:dyDescent="0.25">
      <c r="A205" s="11" t="s">
        <v>392</v>
      </c>
      <c r="B205" s="55" t="s">
        <v>6</v>
      </c>
      <c r="C205" s="98"/>
      <c r="D205" s="244" t="s">
        <v>400</v>
      </c>
    </row>
    <row r="206" spans="1:4" x14ac:dyDescent="0.25">
      <c r="A206" s="11" t="s">
        <v>393</v>
      </c>
      <c r="B206" s="55" t="s">
        <v>7</v>
      </c>
      <c r="C206" s="98"/>
      <c r="D206" s="244" t="s">
        <v>400</v>
      </c>
    </row>
    <row r="207" spans="1:4" x14ac:dyDescent="0.25">
      <c r="A207" s="11" t="s">
        <v>390</v>
      </c>
      <c r="B207" s="55" t="s">
        <v>8</v>
      </c>
      <c r="C207" s="98"/>
      <c r="D207" s="244" t="s">
        <v>400</v>
      </c>
    </row>
    <row r="208" spans="1:4" x14ac:dyDescent="0.25">
      <c r="A208" s="11" t="s">
        <v>391</v>
      </c>
      <c r="B208" s="55" t="s">
        <v>9</v>
      </c>
      <c r="C208" s="98"/>
      <c r="D208" s="244" t="s">
        <v>400</v>
      </c>
    </row>
    <row r="209" spans="1:4" x14ac:dyDescent="0.25">
      <c r="A209" s="11" t="s">
        <v>394</v>
      </c>
      <c r="B209" s="55" t="s">
        <v>10</v>
      </c>
      <c r="C209" s="98"/>
      <c r="D209" s="244" t="s">
        <v>400</v>
      </c>
    </row>
    <row r="210" spans="1:4" x14ac:dyDescent="0.25">
      <c r="A210" s="11" t="s">
        <v>395</v>
      </c>
      <c r="B210" s="55" t="s">
        <v>11</v>
      </c>
      <c r="C210" s="98"/>
      <c r="D210" s="244" t="s">
        <v>400</v>
      </c>
    </row>
    <row r="211" spans="1:4" x14ac:dyDescent="0.25">
      <c r="A211" s="11" t="s">
        <v>185</v>
      </c>
      <c r="B211" s="55" t="s">
        <v>240</v>
      </c>
      <c r="C211" s="98"/>
    </row>
    <row r="212" spans="1:4" x14ac:dyDescent="0.25">
      <c r="A212" s="11" t="s">
        <v>397</v>
      </c>
      <c r="B212" s="55" t="s">
        <v>13</v>
      </c>
      <c r="C212" s="98"/>
      <c r="D212" s="244" t="s">
        <v>396</v>
      </c>
    </row>
    <row r="213" spans="1:4" ht="18.75" x14ac:dyDescent="0.25">
      <c r="A213" s="11" t="s">
        <v>398</v>
      </c>
      <c r="B213" s="55" t="s">
        <v>14</v>
      </c>
      <c r="C213" s="98"/>
      <c r="D213" s="244" t="s">
        <v>396</v>
      </c>
    </row>
    <row r="214" spans="1:4" x14ac:dyDescent="0.25">
      <c r="A214" s="11" t="s">
        <v>399</v>
      </c>
      <c r="B214" s="55" t="s">
        <v>15</v>
      </c>
      <c r="C214" s="98"/>
      <c r="D214" s="244" t="s">
        <v>396</v>
      </c>
    </row>
    <row r="215" spans="1:4" x14ac:dyDescent="0.25">
      <c r="A215" s="11" t="s">
        <v>258</v>
      </c>
      <c r="B215" s="55" t="s">
        <v>162</v>
      </c>
      <c r="C215" s="98"/>
    </row>
    <row r="216" spans="1:4" ht="18" x14ac:dyDescent="0.25">
      <c r="A216" s="11" t="s">
        <v>405</v>
      </c>
      <c r="B216" s="55" t="s">
        <v>17</v>
      </c>
      <c r="C216" s="98"/>
      <c r="D216" s="244" t="s">
        <v>402</v>
      </c>
    </row>
    <row r="217" spans="1:4" ht="18" x14ac:dyDescent="0.25">
      <c r="A217" s="11" t="s">
        <v>406</v>
      </c>
      <c r="B217" s="55" t="s">
        <v>18</v>
      </c>
      <c r="C217" s="98"/>
      <c r="D217" s="244" t="s">
        <v>403</v>
      </c>
    </row>
    <row r="218" spans="1:4" x14ac:dyDescent="0.25">
      <c r="A218" s="11" t="s">
        <v>407</v>
      </c>
      <c r="B218" s="55" t="s">
        <v>19</v>
      </c>
      <c r="C218" s="98"/>
      <c r="D218" s="244" t="s">
        <v>404</v>
      </c>
    </row>
    <row r="219" spans="1:4" x14ac:dyDescent="0.25">
      <c r="A219" s="11" t="s">
        <v>164</v>
      </c>
      <c r="B219" s="55" t="s">
        <v>20</v>
      </c>
      <c r="C219" s="98"/>
    </row>
    <row r="220" spans="1:4" x14ac:dyDescent="0.25">
      <c r="A220" s="4" t="s">
        <v>165</v>
      </c>
      <c r="B220" s="57"/>
      <c r="C220" s="98"/>
    </row>
    <row r="221" spans="1:4" x14ac:dyDescent="0.25">
      <c r="A221" s="100" t="s">
        <v>255</v>
      </c>
      <c r="B221" s="57">
        <v>0</v>
      </c>
      <c r="C221" s="98"/>
    </row>
    <row r="222" spans="1:4" x14ac:dyDescent="0.25">
      <c r="A222" s="11" t="s">
        <v>256</v>
      </c>
      <c r="B222" s="57">
        <v>1</v>
      </c>
      <c r="C222" s="98"/>
    </row>
    <row r="223" spans="1:4" x14ac:dyDescent="0.25">
      <c r="A223" s="11" t="s">
        <v>199</v>
      </c>
      <c r="B223" s="57">
        <v>2</v>
      </c>
      <c r="C223" s="98"/>
    </row>
    <row r="224" spans="1:4" x14ac:dyDescent="0.25">
      <c r="A224" s="4" t="s">
        <v>245</v>
      </c>
      <c r="B224" s="57"/>
      <c r="C224" s="98"/>
    </row>
    <row r="225" spans="1:4" x14ac:dyDescent="0.25">
      <c r="A225" s="10" t="s">
        <v>54</v>
      </c>
      <c r="B225" s="55" t="s">
        <v>102</v>
      </c>
      <c r="C225" s="98"/>
    </row>
    <row r="226" spans="1:4" x14ac:dyDescent="0.25">
      <c r="A226" s="11" t="s">
        <v>392</v>
      </c>
      <c r="B226" s="55" t="s">
        <v>6</v>
      </c>
      <c r="C226" s="98"/>
      <c r="D226" s="244" t="s">
        <v>400</v>
      </c>
    </row>
    <row r="227" spans="1:4" x14ac:dyDescent="0.25">
      <c r="A227" s="11" t="s">
        <v>393</v>
      </c>
      <c r="B227" s="55" t="s">
        <v>7</v>
      </c>
      <c r="C227" s="98"/>
      <c r="D227" s="244" t="s">
        <v>400</v>
      </c>
    </row>
    <row r="228" spans="1:4" x14ac:dyDescent="0.25">
      <c r="A228" s="11" t="s">
        <v>390</v>
      </c>
      <c r="B228" s="55" t="s">
        <v>8</v>
      </c>
      <c r="C228" s="98"/>
      <c r="D228" s="244" t="s">
        <v>400</v>
      </c>
    </row>
    <row r="229" spans="1:4" x14ac:dyDescent="0.25">
      <c r="A229" s="11" t="s">
        <v>391</v>
      </c>
      <c r="B229" s="55" t="s">
        <v>9</v>
      </c>
      <c r="C229" s="98"/>
      <c r="D229" s="244" t="s">
        <v>400</v>
      </c>
    </row>
    <row r="230" spans="1:4" x14ac:dyDescent="0.25">
      <c r="A230" s="11" t="s">
        <v>394</v>
      </c>
      <c r="B230" s="55" t="s">
        <v>10</v>
      </c>
      <c r="C230" s="98"/>
      <c r="D230" s="244" t="s">
        <v>400</v>
      </c>
    </row>
    <row r="231" spans="1:4" x14ac:dyDescent="0.25">
      <c r="A231" s="11" t="s">
        <v>395</v>
      </c>
      <c r="B231" s="55" t="s">
        <v>11</v>
      </c>
      <c r="C231" s="98"/>
      <c r="D231" s="244" t="s">
        <v>400</v>
      </c>
    </row>
    <row r="232" spans="1:4" x14ac:dyDescent="0.25">
      <c r="A232" s="11" t="s">
        <v>185</v>
      </c>
      <c r="B232" s="55" t="s">
        <v>240</v>
      </c>
      <c r="C232" s="98"/>
    </row>
    <row r="233" spans="1:4" x14ac:dyDescent="0.25">
      <c r="A233" s="11" t="s">
        <v>397</v>
      </c>
      <c r="B233" s="55" t="s">
        <v>13</v>
      </c>
      <c r="C233" s="98"/>
      <c r="D233" s="244" t="s">
        <v>396</v>
      </c>
    </row>
    <row r="234" spans="1:4" ht="18.75" x14ac:dyDescent="0.25">
      <c r="A234" s="11" t="s">
        <v>398</v>
      </c>
      <c r="B234" s="55" t="s">
        <v>14</v>
      </c>
      <c r="C234" s="98"/>
      <c r="D234" s="244" t="s">
        <v>396</v>
      </c>
    </row>
    <row r="235" spans="1:4" x14ac:dyDescent="0.25">
      <c r="A235" s="11" t="s">
        <v>399</v>
      </c>
      <c r="B235" s="55" t="s">
        <v>15</v>
      </c>
      <c r="C235" s="98"/>
      <c r="D235" s="244" t="s">
        <v>396</v>
      </c>
    </row>
    <row r="236" spans="1:4" x14ac:dyDescent="0.25">
      <c r="A236" s="11" t="s">
        <v>258</v>
      </c>
      <c r="B236" s="55" t="s">
        <v>162</v>
      </c>
      <c r="C236" s="98"/>
    </row>
    <row r="237" spans="1:4" ht="18" x14ac:dyDescent="0.25">
      <c r="A237" s="11" t="s">
        <v>405</v>
      </c>
      <c r="B237" s="55" t="s">
        <v>17</v>
      </c>
      <c r="C237" s="98"/>
      <c r="D237" s="244" t="s">
        <v>402</v>
      </c>
    </row>
    <row r="238" spans="1:4" ht="18" x14ac:dyDescent="0.25">
      <c r="A238" s="11" t="s">
        <v>406</v>
      </c>
      <c r="B238" s="55" t="s">
        <v>18</v>
      </c>
      <c r="C238" s="98"/>
      <c r="D238" s="244" t="s">
        <v>403</v>
      </c>
    </row>
    <row r="239" spans="1:4" x14ac:dyDescent="0.25">
      <c r="A239" s="11" t="s">
        <v>407</v>
      </c>
      <c r="B239" s="55" t="s">
        <v>19</v>
      </c>
      <c r="C239" s="98"/>
      <c r="D239" s="244" t="s">
        <v>404</v>
      </c>
    </row>
    <row r="240" spans="1:4" x14ac:dyDescent="0.25">
      <c r="A240" s="11" t="s">
        <v>164</v>
      </c>
      <c r="B240" s="55" t="s">
        <v>20</v>
      </c>
      <c r="C240" s="98"/>
    </row>
    <row r="241" spans="1:3" x14ac:dyDescent="0.25">
      <c r="A241" s="4" t="s">
        <v>166</v>
      </c>
      <c r="B241" s="57"/>
      <c r="C241" s="98"/>
    </row>
    <row r="242" spans="1:3" x14ac:dyDescent="0.25">
      <c r="A242" s="100" t="s">
        <v>257</v>
      </c>
      <c r="B242" s="57">
        <v>0</v>
      </c>
      <c r="C242" s="98"/>
    </row>
    <row r="243" spans="1:3" x14ac:dyDescent="0.25">
      <c r="A243" s="11" t="s">
        <v>256</v>
      </c>
      <c r="B243" s="57">
        <v>1</v>
      </c>
      <c r="C243" s="98"/>
    </row>
    <row r="244" spans="1:3" x14ac:dyDescent="0.25">
      <c r="A244" s="11" t="s">
        <v>199</v>
      </c>
      <c r="B244" s="57">
        <v>2</v>
      </c>
      <c r="C244" s="98"/>
    </row>
    <row r="245" spans="1:3" x14ac:dyDescent="0.25">
      <c r="A245" s="4" t="s">
        <v>259</v>
      </c>
      <c r="B245" s="57"/>
      <c r="C245" s="98"/>
    </row>
    <row r="246" spans="1:3" x14ac:dyDescent="0.25">
      <c r="A246" s="11" t="s">
        <v>260</v>
      </c>
      <c r="B246" s="57">
        <v>0</v>
      </c>
      <c r="C246" s="98"/>
    </row>
    <row r="247" spans="1:3" x14ac:dyDescent="0.25">
      <c r="A247" s="11" t="s">
        <v>261</v>
      </c>
      <c r="B247" s="57">
        <v>1</v>
      </c>
      <c r="C247" s="98"/>
    </row>
    <row r="248" spans="1:3" x14ac:dyDescent="0.25">
      <c r="A248" s="4" t="s">
        <v>167</v>
      </c>
      <c r="B248" s="58"/>
      <c r="C248" s="98"/>
    </row>
    <row r="249" spans="1:3" x14ac:dyDescent="0.25">
      <c r="A249" s="12" t="s">
        <v>55</v>
      </c>
      <c r="B249" s="58"/>
      <c r="C249" s="98"/>
    </row>
    <row r="250" spans="1:3" x14ac:dyDescent="0.25">
      <c r="A250" s="4" t="s">
        <v>62</v>
      </c>
      <c r="B250" s="58"/>
      <c r="C250" s="98"/>
    </row>
    <row r="251" spans="1:3" x14ac:dyDescent="0.25">
      <c r="A251" s="7" t="s">
        <v>169</v>
      </c>
      <c r="B251" s="57">
        <v>1</v>
      </c>
      <c r="C251" s="98"/>
    </row>
    <row r="252" spans="1:3" x14ac:dyDescent="0.25">
      <c r="A252" s="7" t="s">
        <v>170</v>
      </c>
      <c r="B252" s="57">
        <v>2</v>
      </c>
      <c r="C252" s="98"/>
    </row>
    <row r="253" spans="1:3" x14ac:dyDescent="0.25">
      <c r="A253" s="7" t="s">
        <v>56</v>
      </c>
      <c r="B253" s="57">
        <v>3</v>
      </c>
      <c r="C253" s="98"/>
    </row>
    <row r="254" spans="1:3" x14ac:dyDescent="0.25">
      <c r="A254" s="7" t="s">
        <v>57</v>
      </c>
      <c r="B254" s="57">
        <v>4</v>
      </c>
      <c r="C254" s="98"/>
    </row>
    <row r="255" spans="1:3" x14ac:dyDescent="0.25">
      <c r="A255" s="7" t="s">
        <v>58</v>
      </c>
      <c r="B255" s="57">
        <v>5</v>
      </c>
      <c r="C255" s="98"/>
    </row>
    <row r="256" spans="1:3" x14ac:dyDescent="0.25">
      <c r="A256" s="7" t="s">
        <v>251</v>
      </c>
      <c r="B256" s="57">
        <v>6</v>
      </c>
      <c r="C256" s="98"/>
    </row>
    <row r="257" spans="1:3" x14ac:dyDescent="0.25">
      <c r="A257" s="7" t="s">
        <v>59</v>
      </c>
      <c r="B257" s="57">
        <v>7</v>
      </c>
      <c r="C257" s="98"/>
    </row>
    <row r="258" spans="1:3" x14ac:dyDescent="0.25">
      <c r="A258" s="7" t="s">
        <v>60</v>
      </c>
      <c r="B258" s="57">
        <v>8</v>
      </c>
      <c r="C258" s="98"/>
    </row>
    <row r="259" spans="1:3" x14ac:dyDescent="0.25">
      <c r="A259" s="7" t="s">
        <v>171</v>
      </c>
      <c r="B259" s="57">
        <v>9</v>
      </c>
      <c r="C259" s="98"/>
    </row>
    <row r="260" spans="1:3" ht="18.75" x14ac:dyDescent="0.25">
      <c r="A260" s="94" t="s">
        <v>241</v>
      </c>
      <c r="B260" s="58"/>
      <c r="C260" s="98"/>
    </row>
    <row r="261" spans="1:3" x14ac:dyDescent="0.25">
      <c r="A261" s="7" t="s">
        <v>50</v>
      </c>
      <c r="B261" s="57">
        <v>0</v>
      </c>
      <c r="C261" s="98"/>
    </row>
    <row r="262" spans="1:3" x14ac:dyDescent="0.25">
      <c r="A262" s="7" t="s">
        <v>242</v>
      </c>
      <c r="B262" s="57">
        <v>1</v>
      </c>
      <c r="C262" s="98"/>
    </row>
    <row r="263" spans="1:3" x14ac:dyDescent="0.25">
      <c r="A263" s="4" t="s">
        <v>173</v>
      </c>
      <c r="B263" s="58"/>
      <c r="C263" s="98"/>
    </row>
    <row r="264" spans="1:3" x14ac:dyDescent="0.25">
      <c r="A264" s="7" t="s">
        <v>54</v>
      </c>
      <c r="B264" s="57">
        <v>0</v>
      </c>
      <c r="C264" s="98"/>
    </row>
    <row r="265" spans="1:3" x14ac:dyDescent="0.25">
      <c r="A265" s="7" t="s">
        <v>172</v>
      </c>
      <c r="B265" s="57">
        <v>1</v>
      </c>
      <c r="C265" s="98"/>
    </row>
    <row r="266" spans="1:3" x14ac:dyDescent="0.25">
      <c r="A266" s="4" t="s">
        <v>190</v>
      </c>
      <c r="B266" s="58"/>
      <c r="C266" s="98"/>
    </row>
    <row r="267" spans="1:3" x14ac:dyDescent="0.25">
      <c r="A267" s="7" t="s">
        <v>191</v>
      </c>
      <c r="B267" s="57">
        <v>0</v>
      </c>
      <c r="C267" s="98"/>
    </row>
    <row r="268" spans="1:3" x14ac:dyDescent="0.25">
      <c r="A268" s="7" t="s">
        <v>192</v>
      </c>
      <c r="B268" s="57">
        <v>1</v>
      </c>
      <c r="C268" s="98"/>
    </row>
    <row r="269" spans="1:3" x14ac:dyDescent="0.25">
      <c r="A269" s="7" t="s">
        <v>194</v>
      </c>
      <c r="B269" s="57">
        <v>2</v>
      </c>
      <c r="C269" s="98"/>
    </row>
    <row r="270" spans="1:3" x14ac:dyDescent="0.25">
      <c r="A270" s="7" t="s">
        <v>195</v>
      </c>
      <c r="B270" s="57">
        <v>3</v>
      </c>
      <c r="C270" s="98"/>
    </row>
    <row r="271" spans="1:3" x14ac:dyDescent="0.25">
      <c r="A271" s="7" t="s">
        <v>196</v>
      </c>
      <c r="B271" s="57">
        <v>5</v>
      </c>
      <c r="C271" s="98"/>
    </row>
    <row r="272" spans="1:3" ht="30" x14ac:dyDescent="0.25">
      <c r="A272" s="64" t="s">
        <v>197</v>
      </c>
      <c r="B272" s="57">
        <v>6</v>
      </c>
      <c r="C272" s="98"/>
    </row>
    <row r="273" spans="1:3" x14ac:dyDescent="0.25">
      <c r="A273" s="7" t="s">
        <v>193</v>
      </c>
      <c r="B273" s="57" t="s">
        <v>114</v>
      </c>
      <c r="C273" s="98"/>
    </row>
    <row r="274" spans="1:3" x14ac:dyDescent="0.25">
      <c r="A274" s="4" t="s">
        <v>101</v>
      </c>
      <c r="B274" s="57"/>
      <c r="C274" s="98"/>
    </row>
    <row r="275" spans="1:3" x14ac:dyDescent="0.25">
      <c r="A275" s="12" t="s">
        <v>89</v>
      </c>
      <c r="B275" s="57"/>
      <c r="C275" s="98"/>
    </row>
    <row r="276" spans="1:3" x14ac:dyDescent="0.25">
      <c r="A276" s="4" t="s">
        <v>64</v>
      </c>
      <c r="B276" s="58"/>
      <c r="C276" s="98"/>
    </row>
    <row r="277" spans="1:3" x14ac:dyDescent="0.25">
      <c r="A277" s="7" t="s">
        <v>70</v>
      </c>
      <c r="B277" s="57">
        <v>0</v>
      </c>
      <c r="C277" s="98"/>
    </row>
    <row r="278" spans="1:3" x14ac:dyDescent="0.25">
      <c r="A278" s="7" t="s">
        <v>71</v>
      </c>
      <c r="B278" s="57">
        <v>1</v>
      </c>
      <c r="C278" s="98"/>
    </row>
    <row r="279" spans="1:3" x14ac:dyDescent="0.25">
      <c r="A279" s="7" t="s">
        <v>32</v>
      </c>
      <c r="B279" s="57" t="s">
        <v>114</v>
      </c>
      <c r="C279" s="98"/>
    </row>
    <row r="280" spans="1:3" x14ac:dyDescent="0.25">
      <c r="A280" s="4" t="s">
        <v>65</v>
      </c>
      <c r="B280" s="58"/>
      <c r="C280" s="98"/>
    </row>
    <row r="281" spans="1:3" x14ac:dyDescent="0.25">
      <c r="A281" s="7" t="s">
        <v>72</v>
      </c>
      <c r="B281" s="57">
        <v>1</v>
      </c>
      <c r="C281" s="98"/>
    </row>
    <row r="282" spans="1:3" x14ac:dyDescent="0.25">
      <c r="A282" s="7" t="s">
        <v>73</v>
      </c>
      <c r="B282" s="57">
        <v>2</v>
      </c>
      <c r="C282" s="98"/>
    </row>
    <row r="283" spans="1:3" x14ac:dyDescent="0.25">
      <c r="A283" s="7" t="s">
        <v>74</v>
      </c>
      <c r="B283" s="57">
        <v>3</v>
      </c>
      <c r="C283" s="98"/>
    </row>
    <row r="284" spans="1:3" x14ac:dyDescent="0.25">
      <c r="A284" s="7" t="s">
        <v>32</v>
      </c>
      <c r="B284" s="57" t="s">
        <v>114</v>
      </c>
      <c r="C284" s="98"/>
    </row>
    <row r="285" spans="1:3" x14ac:dyDescent="0.25">
      <c r="A285" s="4" t="s">
        <v>66</v>
      </c>
      <c r="B285" s="58"/>
      <c r="C285" s="98"/>
    </row>
    <row r="286" spans="1:3" x14ac:dyDescent="0.25">
      <c r="A286" s="7" t="s">
        <v>67</v>
      </c>
      <c r="B286" s="57">
        <v>1</v>
      </c>
      <c r="C286" s="98"/>
    </row>
    <row r="287" spans="1:3" x14ac:dyDescent="0.25">
      <c r="A287" s="7" t="s">
        <v>198</v>
      </c>
      <c r="B287" s="57">
        <v>2</v>
      </c>
      <c r="C287" s="98"/>
    </row>
    <row r="288" spans="1:3" x14ac:dyDescent="0.25">
      <c r="A288" s="7" t="s">
        <v>68</v>
      </c>
      <c r="B288" s="57">
        <v>3</v>
      </c>
      <c r="C288" s="98"/>
    </row>
    <row r="289" spans="1:3" x14ac:dyDescent="0.25">
      <c r="A289" s="7" t="s">
        <v>252</v>
      </c>
      <c r="B289" s="57">
        <v>4</v>
      </c>
      <c r="C289" s="98"/>
    </row>
    <row r="290" spans="1:3" x14ac:dyDescent="0.25">
      <c r="A290" s="7" t="s">
        <v>69</v>
      </c>
      <c r="B290" s="57">
        <v>5</v>
      </c>
      <c r="C290" s="98"/>
    </row>
    <row r="291" spans="1:3" x14ac:dyDescent="0.25">
      <c r="A291" s="7" t="s">
        <v>32</v>
      </c>
      <c r="B291" s="57" t="s">
        <v>114</v>
      </c>
      <c r="C291" s="98"/>
    </row>
    <row r="292" spans="1:3" x14ac:dyDescent="0.25">
      <c r="C292" s="98"/>
    </row>
    <row r="293" spans="1:3" x14ac:dyDescent="0.25">
      <c r="C293" s="98"/>
    </row>
    <row r="294" spans="1:3" x14ac:dyDescent="0.25">
      <c r="C294" s="98"/>
    </row>
    <row r="295" spans="1:3" x14ac:dyDescent="0.25">
      <c r="C295" s="98"/>
    </row>
    <row r="296" spans="1:3" x14ac:dyDescent="0.25">
      <c r="C296" s="98"/>
    </row>
    <row r="297" spans="1:3" x14ac:dyDescent="0.25">
      <c r="C297" s="98"/>
    </row>
  </sheetData>
  <sheetProtection algorithmName="SHA-512" hashValue="1+1NIWq6yTRYcrTGF1tyJnamNmrI4PRySS2cTffWRvOmmmBsZCOo/r/zJ3Qi6T6gpMRmCx4kqxOI9Jj4moQzwA==" saltValue="eUMcL62If8WGNmwXM+NZZA==" spinCount="100000" sheet="1" formatRows="0"/>
  <phoneticPr fontId="16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showGridLines="0" workbookViewId="0">
      <selection activeCell="D24" sqref="D24"/>
    </sheetView>
  </sheetViews>
  <sheetFormatPr defaultRowHeight="15" x14ac:dyDescent="0.25"/>
  <cols>
    <col min="1" max="1" width="1.42578125" customWidth="1"/>
    <col min="2" max="2" width="15.5703125" customWidth="1"/>
    <col min="3" max="3" width="18.5703125" customWidth="1"/>
    <col min="4" max="4" width="18.140625" customWidth="1"/>
    <col min="5" max="5" width="15.140625" customWidth="1"/>
    <col min="6" max="6" width="17.42578125" customWidth="1"/>
    <col min="7" max="7" width="15.7109375" customWidth="1"/>
  </cols>
  <sheetData>
    <row r="1" spans="2:7" ht="21" x14ac:dyDescent="0.35">
      <c r="B1" s="211" t="s">
        <v>328</v>
      </c>
    </row>
    <row r="2" spans="2:7" ht="9" customHeight="1" x14ac:dyDescent="0.25"/>
    <row r="3" spans="2:7" ht="15.75" thickBot="1" x14ac:dyDescent="0.3">
      <c r="B3" s="226" t="s">
        <v>345</v>
      </c>
      <c r="C3" s="226" t="s">
        <v>346</v>
      </c>
    </row>
    <row r="4" spans="2:7" ht="50.25" customHeight="1" thickBot="1" x14ac:dyDescent="0.3">
      <c r="B4" s="209" t="s">
        <v>326</v>
      </c>
      <c r="C4" s="210" t="s">
        <v>327</v>
      </c>
      <c r="D4" s="210" t="s">
        <v>292</v>
      </c>
      <c r="E4" s="210" t="s">
        <v>317</v>
      </c>
      <c r="F4" s="234" t="s">
        <v>325</v>
      </c>
      <c r="G4" s="253" t="s">
        <v>413</v>
      </c>
    </row>
    <row r="5" spans="2:7" ht="20.100000000000001" customHeight="1" x14ac:dyDescent="0.25">
      <c r="B5" s="274" t="s">
        <v>300</v>
      </c>
      <c r="C5" s="276" t="s">
        <v>301</v>
      </c>
      <c r="D5" s="278" t="s">
        <v>296</v>
      </c>
      <c r="E5" s="206" t="s">
        <v>311</v>
      </c>
      <c r="F5" s="207" t="s">
        <v>319</v>
      </c>
      <c r="G5" s="268" t="s">
        <v>411</v>
      </c>
    </row>
    <row r="6" spans="2:7" ht="20.100000000000001" customHeight="1" x14ac:dyDescent="0.25">
      <c r="B6" s="275"/>
      <c r="C6" s="277" t="s">
        <v>301</v>
      </c>
      <c r="D6" s="279" t="s">
        <v>296</v>
      </c>
      <c r="E6" s="202" t="s">
        <v>312</v>
      </c>
      <c r="F6" s="204" t="s">
        <v>310</v>
      </c>
      <c r="G6" s="269"/>
    </row>
    <row r="7" spans="2:7" ht="20.100000000000001" customHeight="1" x14ac:dyDescent="0.25">
      <c r="B7" s="280" t="s">
        <v>299</v>
      </c>
      <c r="C7" s="281" t="s">
        <v>86</v>
      </c>
      <c r="D7" s="282" t="s">
        <v>296</v>
      </c>
      <c r="E7" s="202" t="s">
        <v>311</v>
      </c>
      <c r="F7" s="204" t="s">
        <v>321</v>
      </c>
      <c r="G7" s="269"/>
    </row>
    <row r="8" spans="2:7" ht="20.100000000000001" customHeight="1" x14ac:dyDescent="0.25">
      <c r="B8" s="275"/>
      <c r="C8" s="277"/>
      <c r="D8" s="279"/>
      <c r="E8" s="202" t="s">
        <v>312</v>
      </c>
      <c r="F8" s="204" t="s">
        <v>320</v>
      </c>
      <c r="G8" s="269"/>
    </row>
    <row r="9" spans="2:7" ht="20.100000000000001" customHeight="1" x14ac:dyDescent="0.25">
      <c r="B9" s="275"/>
      <c r="C9" s="277"/>
      <c r="D9" s="200" t="s">
        <v>315</v>
      </c>
      <c r="E9" s="202" t="s">
        <v>316</v>
      </c>
      <c r="F9" s="204" t="s">
        <v>320</v>
      </c>
      <c r="G9" s="269"/>
    </row>
    <row r="10" spans="2:7" ht="20.100000000000001" customHeight="1" x14ac:dyDescent="0.25">
      <c r="B10" s="283" t="s">
        <v>297</v>
      </c>
      <c r="C10" s="286" t="s">
        <v>298</v>
      </c>
      <c r="D10" s="282" t="s">
        <v>296</v>
      </c>
      <c r="E10" s="202" t="s">
        <v>311</v>
      </c>
      <c r="F10" s="204" t="s">
        <v>323</v>
      </c>
      <c r="G10" s="269"/>
    </row>
    <row r="11" spans="2:7" ht="20.100000000000001" customHeight="1" x14ac:dyDescent="0.25">
      <c r="B11" s="284"/>
      <c r="C11" s="287"/>
      <c r="D11" s="279" t="s">
        <v>296</v>
      </c>
      <c r="E11" s="202" t="s">
        <v>312</v>
      </c>
      <c r="F11" s="204" t="s">
        <v>322</v>
      </c>
      <c r="G11" s="269"/>
    </row>
    <row r="12" spans="2:7" ht="20.100000000000001" customHeight="1" x14ac:dyDescent="0.25">
      <c r="B12" s="285"/>
      <c r="C12" s="288"/>
      <c r="D12" s="200" t="s">
        <v>315</v>
      </c>
      <c r="E12" s="202" t="s">
        <v>316</v>
      </c>
      <c r="F12" s="204" t="s">
        <v>322</v>
      </c>
      <c r="G12" s="270"/>
    </row>
    <row r="13" spans="2:7" ht="20.100000000000001" customHeight="1" x14ac:dyDescent="0.25">
      <c r="B13" s="283" t="s">
        <v>294</v>
      </c>
      <c r="C13" s="286" t="s">
        <v>85</v>
      </c>
      <c r="D13" s="291" t="s">
        <v>293</v>
      </c>
      <c r="E13" s="202" t="s">
        <v>313</v>
      </c>
      <c r="F13" s="204" t="s">
        <v>324</v>
      </c>
      <c r="G13" s="271" t="s">
        <v>412</v>
      </c>
    </row>
    <row r="14" spans="2:7" ht="20.100000000000001" customHeight="1" x14ac:dyDescent="0.25">
      <c r="B14" s="284"/>
      <c r="C14" s="287"/>
      <c r="D14" s="292"/>
      <c r="E14" s="202" t="s">
        <v>312</v>
      </c>
      <c r="F14" s="204" t="s">
        <v>318</v>
      </c>
      <c r="G14" s="272"/>
    </row>
    <row r="15" spans="2:7" ht="20.100000000000001" customHeight="1" x14ac:dyDescent="0.25">
      <c r="B15" s="284"/>
      <c r="C15" s="287"/>
      <c r="D15" s="208" t="s">
        <v>295</v>
      </c>
      <c r="E15" s="202" t="s">
        <v>314</v>
      </c>
      <c r="F15" s="204" t="s">
        <v>318</v>
      </c>
      <c r="G15" s="272"/>
    </row>
    <row r="16" spans="2:7" ht="20.100000000000001" customHeight="1" x14ac:dyDescent="0.25">
      <c r="B16" s="284"/>
      <c r="C16" s="287"/>
      <c r="D16" s="291" t="s">
        <v>296</v>
      </c>
      <c r="E16" s="202" t="s">
        <v>311</v>
      </c>
      <c r="F16" s="204" t="s">
        <v>324</v>
      </c>
      <c r="G16" s="272"/>
    </row>
    <row r="17" spans="2:7" ht="20.100000000000001" customHeight="1" x14ac:dyDescent="0.25">
      <c r="B17" s="284"/>
      <c r="C17" s="287"/>
      <c r="D17" s="292"/>
      <c r="E17" s="202" t="s">
        <v>312</v>
      </c>
      <c r="F17" s="204" t="s">
        <v>318</v>
      </c>
      <c r="G17" s="272"/>
    </row>
    <row r="18" spans="2:7" ht="20.100000000000001" customHeight="1" thickBot="1" x14ac:dyDescent="0.3">
      <c r="B18" s="289"/>
      <c r="C18" s="290"/>
      <c r="D18" s="201" t="s">
        <v>315</v>
      </c>
      <c r="E18" s="203" t="s">
        <v>316</v>
      </c>
      <c r="F18" s="205" t="s">
        <v>318</v>
      </c>
      <c r="G18" s="273"/>
    </row>
    <row r="19" spans="2:7" ht="15.75" thickBot="1" x14ac:dyDescent="0.3"/>
    <row r="20" spans="2:7" ht="42.75" customHeight="1" thickBot="1" x14ac:dyDescent="0.3">
      <c r="D20" s="214" t="s">
        <v>338</v>
      </c>
      <c r="E20" s="214"/>
      <c r="F20" s="235" t="s">
        <v>337</v>
      </c>
    </row>
    <row r="21" spans="2:7" ht="20.100000000000001" customHeight="1" x14ac:dyDescent="0.25">
      <c r="D21" s="220" t="s">
        <v>339</v>
      </c>
      <c r="E21" s="221"/>
      <c r="F21" s="215" t="s">
        <v>340</v>
      </c>
    </row>
    <row r="22" spans="2:7" ht="20.100000000000001" customHeight="1" x14ac:dyDescent="0.25">
      <c r="D22" s="222" t="s">
        <v>343</v>
      </c>
      <c r="E22" s="223"/>
      <c r="F22" s="216" t="s">
        <v>341</v>
      </c>
    </row>
    <row r="23" spans="2:7" ht="20.100000000000001" customHeight="1" thickBot="1" x14ac:dyDescent="0.3">
      <c r="D23" s="224" t="s">
        <v>342</v>
      </c>
      <c r="E23" s="225"/>
      <c r="F23" s="217" t="s">
        <v>336</v>
      </c>
    </row>
  </sheetData>
  <sheetProtection sheet="1" objects="1" scenarios="1" selectLockedCells="1" selectUnlockedCells="1"/>
  <mergeCells count="15">
    <mergeCell ref="G5:G12"/>
    <mergeCell ref="G13:G18"/>
    <mergeCell ref="B5:B6"/>
    <mergeCell ref="C5:C6"/>
    <mergeCell ref="D5:D6"/>
    <mergeCell ref="B7:B9"/>
    <mergeCell ref="C7:C9"/>
    <mergeCell ref="D7:D8"/>
    <mergeCell ref="B10:B12"/>
    <mergeCell ref="C10:C12"/>
    <mergeCell ref="D10:D11"/>
    <mergeCell ref="B13:B18"/>
    <mergeCell ref="C13:C18"/>
    <mergeCell ref="D13:D14"/>
    <mergeCell ref="D16:D1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3"/>
  <sheetViews>
    <sheetView showGridLines="0" topLeftCell="A3" workbookViewId="0">
      <selection activeCell="P28" sqref="P28"/>
    </sheetView>
  </sheetViews>
  <sheetFormatPr defaultRowHeight="15" x14ac:dyDescent="0.25"/>
  <cols>
    <col min="1" max="1" width="1.5703125" customWidth="1"/>
    <col min="2" max="2" width="7.5703125" customWidth="1"/>
    <col min="3" max="3" width="7.28515625" customWidth="1"/>
  </cols>
  <sheetData>
    <row r="1" spans="2:17" ht="23.25" x14ac:dyDescent="0.35">
      <c r="B1" s="59" t="s">
        <v>222</v>
      </c>
    </row>
    <row r="2" spans="2:17" x14ac:dyDescent="0.25">
      <c r="B2" t="s">
        <v>239</v>
      </c>
    </row>
    <row r="3" spans="2:17" ht="15.75" thickBot="1" x14ac:dyDescent="0.3"/>
    <row r="4" spans="2:17" ht="16.5" x14ac:dyDescent="0.35">
      <c r="B4" s="293" t="s">
        <v>236</v>
      </c>
      <c r="C4" s="296" t="s">
        <v>201</v>
      </c>
      <c r="D4" s="299" t="s">
        <v>234</v>
      </c>
      <c r="E4" s="300"/>
      <c r="F4" s="301" t="s">
        <v>235</v>
      </c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3"/>
    </row>
    <row r="5" spans="2:17" ht="18" x14ac:dyDescent="0.35">
      <c r="B5" s="294"/>
      <c r="C5" s="297"/>
      <c r="D5" s="304" t="s">
        <v>228</v>
      </c>
      <c r="E5" s="305"/>
      <c r="F5" s="71" t="s">
        <v>229</v>
      </c>
      <c r="G5" s="72"/>
      <c r="H5" s="73"/>
      <c r="I5" s="87" t="s">
        <v>230</v>
      </c>
      <c r="J5" s="88"/>
      <c r="K5" s="89"/>
      <c r="L5" s="71" t="s">
        <v>232</v>
      </c>
      <c r="M5" s="72"/>
      <c r="N5" s="73"/>
      <c r="O5" s="71" t="s">
        <v>233</v>
      </c>
      <c r="P5" s="72"/>
      <c r="Q5" s="73"/>
    </row>
    <row r="6" spans="2:17" x14ac:dyDescent="0.25">
      <c r="B6" s="294"/>
      <c r="C6" s="297"/>
      <c r="D6" s="306" t="s">
        <v>237</v>
      </c>
      <c r="E6" s="308" t="s">
        <v>231</v>
      </c>
      <c r="F6" s="74" t="s">
        <v>202</v>
      </c>
      <c r="G6" s="75" t="s">
        <v>226</v>
      </c>
      <c r="H6" s="76" t="s">
        <v>203</v>
      </c>
      <c r="I6" s="74" t="s">
        <v>202</v>
      </c>
      <c r="J6" s="75" t="s">
        <v>226</v>
      </c>
      <c r="K6" s="76" t="s">
        <v>203</v>
      </c>
      <c r="L6" s="74" t="s">
        <v>202</v>
      </c>
      <c r="M6" s="75" t="s">
        <v>226</v>
      </c>
      <c r="N6" s="76" t="s">
        <v>203</v>
      </c>
      <c r="O6" s="74" t="s">
        <v>202</v>
      </c>
      <c r="P6" s="75" t="s">
        <v>226</v>
      </c>
      <c r="Q6" s="76" t="s">
        <v>203</v>
      </c>
    </row>
    <row r="7" spans="2:17" x14ac:dyDescent="0.25">
      <c r="B7" s="294"/>
      <c r="C7" s="297"/>
      <c r="D7" s="306"/>
      <c r="E7" s="308"/>
      <c r="F7" s="77" t="s">
        <v>227</v>
      </c>
      <c r="G7" s="78" t="s">
        <v>204</v>
      </c>
      <c r="H7" s="79" t="s">
        <v>227</v>
      </c>
      <c r="I7" s="77" t="s">
        <v>227</v>
      </c>
      <c r="J7" s="78" t="s">
        <v>204</v>
      </c>
      <c r="K7" s="79" t="s">
        <v>227</v>
      </c>
      <c r="L7" s="77" t="s">
        <v>227</v>
      </c>
      <c r="M7" s="78" t="s">
        <v>204</v>
      </c>
      <c r="N7" s="79" t="s">
        <v>227</v>
      </c>
      <c r="O7" s="77" t="s">
        <v>227</v>
      </c>
      <c r="P7" s="78" t="s">
        <v>204</v>
      </c>
      <c r="Q7" s="79" t="s">
        <v>227</v>
      </c>
    </row>
    <row r="8" spans="2:17" ht="18" x14ac:dyDescent="0.35">
      <c r="B8" s="294"/>
      <c r="C8" s="297"/>
      <c r="D8" s="306"/>
      <c r="E8" s="308"/>
      <c r="F8" s="80" t="s">
        <v>205</v>
      </c>
      <c r="G8" s="81" t="s">
        <v>206</v>
      </c>
      <c r="H8" s="82" t="s">
        <v>238</v>
      </c>
      <c r="I8" s="80" t="s">
        <v>205</v>
      </c>
      <c r="J8" s="81" t="s">
        <v>206</v>
      </c>
      <c r="K8" s="82" t="s">
        <v>238</v>
      </c>
      <c r="L8" s="80" t="s">
        <v>205</v>
      </c>
      <c r="M8" s="81" t="s">
        <v>206</v>
      </c>
      <c r="N8" s="82" t="s">
        <v>207</v>
      </c>
      <c r="O8" s="80" t="s">
        <v>205</v>
      </c>
      <c r="P8" s="81" t="s">
        <v>206</v>
      </c>
      <c r="Q8" s="82" t="s">
        <v>238</v>
      </c>
    </row>
    <row r="9" spans="2:17" ht="15.75" thickBot="1" x14ac:dyDescent="0.3">
      <c r="B9" s="295"/>
      <c r="C9" s="298"/>
      <c r="D9" s="307"/>
      <c r="E9" s="309"/>
      <c r="F9" s="83" t="s">
        <v>223</v>
      </c>
      <c r="G9" s="84" t="s">
        <v>224</v>
      </c>
      <c r="H9" s="85" t="s">
        <v>225</v>
      </c>
      <c r="I9" s="83" t="s">
        <v>223</v>
      </c>
      <c r="J9" s="84" t="s">
        <v>224</v>
      </c>
      <c r="K9" s="85" t="s">
        <v>225</v>
      </c>
      <c r="L9" s="83" t="s">
        <v>223</v>
      </c>
      <c r="M9" s="84" t="s">
        <v>224</v>
      </c>
      <c r="N9" s="85" t="s">
        <v>225</v>
      </c>
      <c r="O9" s="83" t="s">
        <v>223</v>
      </c>
      <c r="P9" s="84" t="s">
        <v>224</v>
      </c>
      <c r="Q9" s="85" t="s">
        <v>225</v>
      </c>
    </row>
    <row r="10" spans="2:17" ht="15.75" x14ac:dyDescent="0.25">
      <c r="B10" s="92">
        <v>15</v>
      </c>
      <c r="C10" s="67" t="s">
        <v>208</v>
      </c>
      <c r="D10" s="68">
        <v>7.87</v>
      </c>
      <c r="E10" s="95">
        <v>2.1861111111111109</v>
      </c>
      <c r="F10" s="90">
        <v>0.1</v>
      </c>
      <c r="G10" s="93">
        <v>21.861111111111107</v>
      </c>
      <c r="H10" s="86">
        <v>23</v>
      </c>
      <c r="I10" s="91">
        <v>0.1</v>
      </c>
      <c r="J10" s="93">
        <v>21.861111111111107</v>
      </c>
      <c r="K10" s="66">
        <v>23</v>
      </c>
      <c r="L10" s="90">
        <v>1</v>
      </c>
      <c r="M10" s="93">
        <v>2.1861111111111109</v>
      </c>
      <c r="N10" s="86">
        <v>229</v>
      </c>
      <c r="O10" s="90">
        <v>1</v>
      </c>
      <c r="P10" s="93">
        <v>2.1861111111111109</v>
      </c>
      <c r="Q10" s="66">
        <v>229</v>
      </c>
    </row>
    <row r="11" spans="2:17" ht="15.75" x14ac:dyDescent="0.25">
      <c r="B11" s="92">
        <v>20</v>
      </c>
      <c r="C11" s="67" t="s">
        <v>209</v>
      </c>
      <c r="D11" s="68">
        <v>12</v>
      </c>
      <c r="E11" s="95">
        <v>3.333333333333333</v>
      </c>
      <c r="F11" s="90">
        <v>0.1</v>
      </c>
      <c r="G11" s="93">
        <v>33.333333333333329</v>
      </c>
      <c r="H11" s="86">
        <v>15</v>
      </c>
      <c r="I11" s="91">
        <v>0.1</v>
      </c>
      <c r="J11" s="93">
        <v>33.333333333333329</v>
      </c>
      <c r="K11" s="66">
        <v>15</v>
      </c>
      <c r="L11" s="90">
        <v>1</v>
      </c>
      <c r="M11" s="93">
        <v>3.333333333333333</v>
      </c>
      <c r="N11" s="86">
        <v>150</v>
      </c>
      <c r="O11" s="90">
        <v>1</v>
      </c>
      <c r="P11" s="93">
        <v>3.333333333333333</v>
      </c>
      <c r="Q11" s="66">
        <v>150</v>
      </c>
    </row>
    <row r="12" spans="2:17" ht="15.75" x14ac:dyDescent="0.25">
      <c r="B12" s="92">
        <v>25</v>
      </c>
      <c r="C12" s="67" t="s">
        <v>210</v>
      </c>
      <c r="D12" s="68">
        <v>20</v>
      </c>
      <c r="E12" s="95">
        <v>5.5555555555555554</v>
      </c>
      <c r="F12" s="90">
        <v>0.1</v>
      </c>
      <c r="G12" s="93">
        <v>55.55555555555555</v>
      </c>
      <c r="H12" s="86">
        <v>9</v>
      </c>
      <c r="I12" s="91">
        <v>0.1</v>
      </c>
      <c r="J12" s="93">
        <v>55.55555555555555</v>
      </c>
      <c r="K12" s="66">
        <v>9</v>
      </c>
      <c r="L12" s="90">
        <v>1</v>
      </c>
      <c r="M12" s="93">
        <v>5.5555555555555554</v>
      </c>
      <c r="N12" s="86">
        <v>90</v>
      </c>
      <c r="O12" s="90">
        <v>1</v>
      </c>
      <c r="P12" s="93">
        <v>5.5555555555555554</v>
      </c>
      <c r="Q12" s="66">
        <v>90</v>
      </c>
    </row>
    <row r="13" spans="2:17" ht="15.75" x14ac:dyDescent="0.25">
      <c r="B13" s="92">
        <v>32</v>
      </c>
      <c r="C13" s="67" t="s">
        <v>211</v>
      </c>
      <c r="D13" s="68">
        <v>31.25</v>
      </c>
      <c r="E13" s="95">
        <v>8.6805555555555554</v>
      </c>
      <c r="F13" s="90">
        <v>0.1</v>
      </c>
      <c r="G13" s="93">
        <v>86.805555555555543</v>
      </c>
      <c r="H13" s="86">
        <v>6</v>
      </c>
      <c r="I13" s="91">
        <v>1</v>
      </c>
      <c r="J13" s="93">
        <v>8.6805555555555554</v>
      </c>
      <c r="K13" s="66">
        <v>58</v>
      </c>
      <c r="L13" s="90">
        <v>1</v>
      </c>
      <c r="M13" s="93">
        <v>8.6805555555555554</v>
      </c>
      <c r="N13" s="86">
        <v>58</v>
      </c>
      <c r="O13" s="90">
        <v>10</v>
      </c>
      <c r="P13" s="93">
        <v>0.86805555555555558</v>
      </c>
      <c r="Q13" s="66">
        <v>576</v>
      </c>
    </row>
    <row r="14" spans="2:17" ht="15.75" x14ac:dyDescent="0.25">
      <c r="B14" s="92">
        <v>40</v>
      </c>
      <c r="C14" s="67" t="s">
        <v>212</v>
      </c>
      <c r="D14" s="68">
        <v>50</v>
      </c>
      <c r="E14" s="96">
        <v>13.888888888888889</v>
      </c>
      <c r="F14" s="90">
        <v>1</v>
      </c>
      <c r="G14" s="93">
        <v>13.888888888888889</v>
      </c>
      <c r="H14" s="86">
        <v>36</v>
      </c>
      <c r="I14" s="91">
        <v>1</v>
      </c>
      <c r="J14" s="93">
        <v>13.888888888888889</v>
      </c>
      <c r="K14" s="66">
        <v>36</v>
      </c>
      <c r="L14" s="90">
        <v>10</v>
      </c>
      <c r="M14" s="93">
        <v>1.3888888888888888</v>
      </c>
      <c r="N14" s="86">
        <v>360</v>
      </c>
      <c r="O14" s="90">
        <v>10</v>
      </c>
      <c r="P14" s="93">
        <v>1.3888888888888888</v>
      </c>
      <c r="Q14" s="66">
        <v>360</v>
      </c>
    </row>
    <row r="15" spans="2:17" ht="15.75" x14ac:dyDescent="0.25">
      <c r="B15" s="92">
        <v>50</v>
      </c>
      <c r="C15" s="67" t="s">
        <v>213</v>
      </c>
      <c r="D15" s="68">
        <v>79</v>
      </c>
      <c r="E15" s="96">
        <v>21.944444444444443</v>
      </c>
      <c r="F15" s="90">
        <v>1</v>
      </c>
      <c r="G15" s="93">
        <v>21.944444444444443</v>
      </c>
      <c r="H15" s="86">
        <v>23</v>
      </c>
      <c r="I15" s="91">
        <v>1</v>
      </c>
      <c r="J15" s="93">
        <v>21.944444444444443</v>
      </c>
      <c r="K15" s="66">
        <v>23</v>
      </c>
      <c r="L15" s="90">
        <v>10</v>
      </c>
      <c r="M15" s="93">
        <v>2.1944444444444442</v>
      </c>
      <c r="N15" s="86">
        <v>228</v>
      </c>
      <c r="O15" s="90">
        <v>10</v>
      </c>
      <c r="P15" s="93">
        <v>2.1944444444444442</v>
      </c>
      <c r="Q15" s="66">
        <v>228</v>
      </c>
    </row>
    <row r="16" spans="2:17" ht="15.75" x14ac:dyDescent="0.25">
      <c r="B16" s="92">
        <v>65</v>
      </c>
      <c r="C16" s="67" t="s">
        <v>214</v>
      </c>
      <c r="D16" s="68">
        <v>125</v>
      </c>
      <c r="E16" s="96">
        <v>34.722222222222221</v>
      </c>
      <c r="F16" s="90">
        <v>1</v>
      </c>
      <c r="G16" s="93">
        <v>34.722222222222221</v>
      </c>
      <c r="H16" s="86">
        <v>14</v>
      </c>
      <c r="I16" s="91">
        <v>1</v>
      </c>
      <c r="J16" s="93">
        <v>34.722222222222221</v>
      </c>
      <c r="K16" s="66">
        <v>14</v>
      </c>
      <c r="L16" s="90">
        <v>10</v>
      </c>
      <c r="M16" s="93">
        <v>3.4722222222222223</v>
      </c>
      <c r="N16" s="86">
        <v>144</v>
      </c>
      <c r="O16" s="90">
        <v>10</v>
      </c>
      <c r="P16" s="93">
        <v>3.4722222222222223</v>
      </c>
      <c r="Q16" s="66">
        <v>144</v>
      </c>
    </row>
    <row r="17" spans="2:17" ht="15.75" x14ac:dyDescent="0.25">
      <c r="B17" s="92">
        <v>80</v>
      </c>
      <c r="C17" s="67" t="s">
        <v>215</v>
      </c>
      <c r="D17" s="68">
        <v>200</v>
      </c>
      <c r="E17" s="96">
        <v>55.555555555555557</v>
      </c>
      <c r="F17" s="90">
        <v>1</v>
      </c>
      <c r="G17" s="93">
        <v>55.555555555555557</v>
      </c>
      <c r="H17" s="86">
        <v>9</v>
      </c>
      <c r="I17" s="91">
        <v>1</v>
      </c>
      <c r="J17" s="93">
        <v>55.555555555555557</v>
      </c>
      <c r="K17" s="66">
        <v>9</v>
      </c>
      <c r="L17" s="90">
        <v>10</v>
      </c>
      <c r="M17" s="93">
        <v>5.5555555555555554</v>
      </c>
      <c r="N17" s="86">
        <v>90</v>
      </c>
      <c r="O17" s="90">
        <v>10</v>
      </c>
      <c r="P17" s="93">
        <v>5.5555555555555554</v>
      </c>
      <c r="Q17" s="66">
        <v>90</v>
      </c>
    </row>
    <row r="18" spans="2:17" ht="15.75" x14ac:dyDescent="0.25">
      <c r="B18" s="92">
        <v>100</v>
      </c>
      <c r="C18" s="67" t="s">
        <v>216</v>
      </c>
      <c r="D18" s="68">
        <v>312.5</v>
      </c>
      <c r="E18" s="96">
        <v>86.805555555555557</v>
      </c>
      <c r="F18" s="90">
        <v>1</v>
      </c>
      <c r="G18" s="93">
        <v>86.805555555555557</v>
      </c>
      <c r="H18" s="86">
        <v>6</v>
      </c>
      <c r="I18" s="91">
        <v>10</v>
      </c>
      <c r="J18" s="93">
        <v>8.6805555555555554</v>
      </c>
      <c r="K18" s="66">
        <v>58</v>
      </c>
      <c r="L18" s="90">
        <v>10</v>
      </c>
      <c r="M18" s="93">
        <v>8.6805555555555554</v>
      </c>
      <c r="N18" s="86">
        <v>58</v>
      </c>
      <c r="O18" s="90">
        <v>100</v>
      </c>
      <c r="P18" s="93">
        <v>0.86805555555555558</v>
      </c>
      <c r="Q18" s="66">
        <v>576</v>
      </c>
    </row>
    <row r="19" spans="2:17" ht="15.75" x14ac:dyDescent="0.25">
      <c r="B19" s="92">
        <v>125</v>
      </c>
      <c r="C19" s="67" t="s">
        <v>217</v>
      </c>
      <c r="D19" s="68">
        <v>500</v>
      </c>
      <c r="E19" s="97">
        <v>138.88888888888889</v>
      </c>
      <c r="F19" s="90">
        <v>10</v>
      </c>
      <c r="G19" s="93">
        <v>13.888888888888889</v>
      </c>
      <c r="H19" s="86">
        <v>36</v>
      </c>
      <c r="I19" s="91">
        <v>10</v>
      </c>
      <c r="J19" s="93">
        <v>13.888888888888889</v>
      </c>
      <c r="K19" s="66">
        <v>36</v>
      </c>
      <c r="L19" s="90">
        <v>100</v>
      </c>
      <c r="M19" s="93">
        <v>1.3888888888888888</v>
      </c>
      <c r="N19" s="86">
        <v>360</v>
      </c>
      <c r="O19" s="90">
        <v>100</v>
      </c>
      <c r="P19" s="93">
        <v>1.3888888888888888</v>
      </c>
      <c r="Q19" s="66">
        <v>360</v>
      </c>
    </row>
    <row r="20" spans="2:17" ht="15.75" x14ac:dyDescent="0.25">
      <c r="B20" s="92">
        <v>150</v>
      </c>
      <c r="C20" s="67" t="s">
        <v>218</v>
      </c>
      <c r="D20" s="68">
        <v>788</v>
      </c>
      <c r="E20" s="97">
        <v>218.88888888888889</v>
      </c>
      <c r="F20" s="90">
        <v>10</v>
      </c>
      <c r="G20" s="93">
        <v>21.888888888888889</v>
      </c>
      <c r="H20" s="86">
        <v>23</v>
      </c>
      <c r="I20" s="91">
        <v>10</v>
      </c>
      <c r="J20" s="93">
        <v>21.888888888888889</v>
      </c>
      <c r="K20" s="66">
        <v>23</v>
      </c>
      <c r="L20" s="90">
        <v>100</v>
      </c>
      <c r="M20" s="93">
        <v>2.1888888888888887</v>
      </c>
      <c r="N20" s="86">
        <v>228</v>
      </c>
      <c r="O20" s="90">
        <v>100</v>
      </c>
      <c r="P20" s="93">
        <v>2.1888888888888887</v>
      </c>
      <c r="Q20" s="66">
        <v>228</v>
      </c>
    </row>
    <row r="21" spans="2:17" ht="15.75" x14ac:dyDescent="0.25">
      <c r="B21" s="92">
        <v>200</v>
      </c>
      <c r="C21" s="67" t="s">
        <v>219</v>
      </c>
      <c r="D21" s="69">
        <v>1250</v>
      </c>
      <c r="E21" s="97">
        <v>347.22222222222223</v>
      </c>
      <c r="F21" s="90">
        <v>10</v>
      </c>
      <c r="G21" s="93">
        <v>34.722222222222221</v>
      </c>
      <c r="H21" s="86">
        <v>14</v>
      </c>
      <c r="I21" s="91">
        <v>10</v>
      </c>
      <c r="J21" s="93">
        <v>34.722222222222221</v>
      </c>
      <c r="K21" s="66">
        <v>14</v>
      </c>
      <c r="L21" s="90">
        <v>100</v>
      </c>
      <c r="M21" s="93">
        <v>3.4722222222222223</v>
      </c>
      <c r="N21" s="86">
        <v>144</v>
      </c>
      <c r="O21" s="90">
        <v>100</v>
      </c>
      <c r="P21" s="93">
        <v>3.4722222222222223</v>
      </c>
      <c r="Q21" s="66">
        <v>144</v>
      </c>
    </row>
    <row r="22" spans="2:17" ht="15.75" x14ac:dyDescent="0.25">
      <c r="B22" s="92">
        <v>250</v>
      </c>
      <c r="C22" s="67" t="s">
        <v>220</v>
      </c>
      <c r="D22" s="69">
        <v>2000</v>
      </c>
      <c r="E22" s="97">
        <v>555.55555555555554</v>
      </c>
      <c r="F22" s="90">
        <v>10</v>
      </c>
      <c r="G22" s="93">
        <v>55.555555555555557</v>
      </c>
      <c r="H22" s="86">
        <v>9</v>
      </c>
      <c r="I22" s="91">
        <v>10</v>
      </c>
      <c r="J22" s="93">
        <v>55.555555555555557</v>
      </c>
      <c r="K22" s="66">
        <v>9</v>
      </c>
      <c r="L22" s="90">
        <v>100</v>
      </c>
      <c r="M22" s="93">
        <v>5.5555555555555554</v>
      </c>
      <c r="N22" s="86">
        <v>90</v>
      </c>
      <c r="O22" s="90">
        <v>100</v>
      </c>
      <c r="P22" s="93">
        <v>5.5555555555555554</v>
      </c>
      <c r="Q22" s="66">
        <v>90</v>
      </c>
    </row>
    <row r="23" spans="2:17" ht="16.5" thickBot="1" x14ac:dyDescent="0.3">
      <c r="B23" s="236">
        <v>300</v>
      </c>
      <c r="C23" s="70" t="s">
        <v>221</v>
      </c>
      <c r="D23" s="237">
        <v>3125</v>
      </c>
      <c r="E23" s="238">
        <v>868.05555555555554</v>
      </c>
      <c r="F23" s="239">
        <v>10</v>
      </c>
      <c r="G23" s="240">
        <v>86.805555555555557</v>
      </c>
      <c r="H23" s="241">
        <v>6</v>
      </c>
      <c r="I23" s="242">
        <v>100</v>
      </c>
      <c r="J23" s="240">
        <v>8.6805555555555554</v>
      </c>
      <c r="K23" s="243">
        <v>58</v>
      </c>
      <c r="L23" s="239">
        <v>100</v>
      </c>
      <c r="M23" s="240">
        <v>8.6805555555555554</v>
      </c>
      <c r="N23" s="241">
        <v>58</v>
      </c>
      <c r="O23" s="239">
        <v>1000</v>
      </c>
      <c r="P23" s="240">
        <v>0.86805555555555558</v>
      </c>
      <c r="Q23" s="243">
        <v>576</v>
      </c>
    </row>
  </sheetData>
  <sheetProtection algorithmName="SHA-512" hashValue="/43+0JcGz+B2xNp87c4TAO5b61qTjYtF4JNY50DbezQInaUbhLnbJ2LSL6xC4C6saeQveENx7l/7D3yUCAAmmg==" saltValue="sEP/uItj8wk/N0X3PVr5Gg==" spinCount="100000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topLeftCell="A22" workbookViewId="0">
      <selection activeCell="C50" sqref="C50"/>
    </sheetView>
  </sheetViews>
  <sheetFormatPr defaultRowHeight="15" x14ac:dyDescent="0.25"/>
  <cols>
    <col min="1" max="1" width="6.140625" customWidth="1"/>
    <col min="2" max="2" width="5" style="13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6" t="s">
        <v>34</v>
      </c>
      <c r="B1" s="17"/>
      <c r="C1" s="18"/>
      <c r="D1" s="18"/>
      <c r="E1" s="30" t="s">
        <v>77</v>
      </c>
      <c r="F1" s="27">
        <f>COUNTBLANK(KodyOC)</f>
        <v>42</v>
      </c>
      <c r="G1" s="32" t="s">
        <v>82</v>
      </c>
      <c r="H1" s="48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",""))</f>
        <v/>
      </c>
    </row>
    <row r="2" spans="1:8" ht="14.25" customHeight="1" thickBot="1" x14ac:dyDescent="0.4">
      <c r="A2" s="16"/>
      <c r="B2" s="17"/>
      <c r="D2" s="18"/>
      <c r="E2" s="31" t="s">
        <v>81</v>
      </c>
      <c r="F2" s="27">
        <f>COUNTBLANK(KodyOC_HW)</f>
        <v>14</v>
      </c>
      <c r="G2" s="33"/>
      <c r="H2" s="19"/>
    </row>
    <row r="3" spans="1:8" ht="14.25" customHeight="1" thickBot="1" x14ac:dyDescent="0.3">
      <c r="A3" s="39" t="s">
        <v>103</v>
      </c>
      <c r="B3" s="40" t="s">
        <v>104</v>
      </c>
      <c r="C3" s="41" t="s">
        <v>105</v>
      </c>
      <c r="D3" s="42" t="s">
        <v>106</v>
      </c>
      <c r="E3" s="43"/>
      <c r="F3" s="27"/>
      <c r="G3" s="33"/>
      <c r="H3" s="19"/>
    </row>
    <row r="4" spans="1:8" ht="15.75" x14ac:dyDescent="0.25">
      <c r="A4" s="20">
        <v>0</v>
      </c>
      <c r="B4" s="21" t="s">
        <v>264</v>
      </c>
      <c r="C4" s="22"/>
      <c r="D4" s="22"/>
      <c r="E4" s="18"/>
      <c r="F4" s="18"/>
      <c r="G4" s="29" t="s">
        <v>78</v>
      </c>
      <c r="H4" s="18"/>
    </row>
    <row r="5" spans="1:8" x14ac:dyDescent="0.25">
      <c r="A5" s="23">
        <f>Specifikace!B5</f>
        <v>5</v>
      </c>
      <c r="B5" s="24" t="str">
        <f>Specifikace!E5</f>
        <v/>
      </c>
      <c r="C5" s="25" t="str">
        <f>Specifikace!C5</f>
        <v>Vyhodnocovací elektronika</v>
      </c>
      <c r="D5" s="26">
        <f>Specifikace!D5</f>
        <v>0</v>
      </c>
      <c r="E5" s="22"/>
      <c r="F5" s="18"/>
      <c r="G5" s="46" t="str">
        <f>IF(MID(B5,1,1)="X",C5,"")</f>
        <v/>
      </c>
      <c r="H5" s="18"/>
    </row>
    <row r="6" spans="1:8" x14ac:dyDescent="0.25">
      <c r="A6" s="23">
        <f>Specifikace!B6</f>
        <v>6</v>
      </c>
      <c r="B6" s="24" t="str">
        <f>Specifikace!E6</f>
        <v/>
      </c>
      <c r="C6" s="25" t="str">
        <f>Specifikace!C6</f>
        <v>Provedení měřicího čidla</v>
      </c>
      <c r="D6" s="26" t="str">
        <f>Specifikace!D6</f>
        <v/>
      </c>
      <c r="E6" s="22"/>
      <c r="F6" s="18"/>
      <c r="G6" s="47"/>
      <c r="H6" s="18"/>
    </row>
    <row r="7" spans="1:8" x14ac:dyDescent="0.25">
      <c r="A7" s="23">
        <f>Specifikace!B7</f>
        <v>7</v>
      </c>
      <c r="B7" s="24" t="str">
        <f>Specifikace!E7</f>
        <v/>
      </c>
      <c r="C7" s="25" t="str">
        <f>Specifikace!C7</f>
        <v>Konstrukční provedení průtokoměru</v>
      </c>
      <c r="D7" s="26">
        <f>Specifikace!D7</f>
        <v>0</v>
      </c>
      <c r="E7" s="22"/>
      <c r="F7" s="18"/>
      <c r="G7" s="47" t="str">
        <f>IF(MID(B7,1,1)="X",C7,"")</f>
        <v/>
      </c>
      <c r="H7" s="18"/>
    </row>
    <row r="8" spans="1:8" x14ac:dyDescent="0.25">
      <c r="A8" s="23" t="str">
        <f>Specifikace!B8</f>
        <v xml:space="preserve"> - </v>
      </c>
      <c r="B8" s="24" t="str">
        <f>Specifikace!E8</f>
        <v>-</v>
      </c>
      <c r="C8" s="25" t="str">
        <f>Specifikace!C8</f>
        <v>TECHNICKÉ PARAMETRY</v>
      </c>
      <c r="D8" s="26" t="str">
        <f>Specifikace!D8</f>
        <v xml:space="preserve"> - </v>
      </c>
      <c r="E8" s="22"/>
      <c r="F8" s="18"/>
      <c r="G8" s="47" t="str">
        <f t="shared" ref="G8:G19" si="0">IF(MID(B8,1,1)="X",C8,"")</f>
        <v/>
      </c>
      <c r="H8" s="18"/>
    </row>
    <row r="9" spans="1:8" x14ac:dyDescent="0.25">
      <c r="A9" s="23">
        <f>Specifikace!B9</f>
        <v>9</v>
      </c>
      <c r="B9" s="24" t="str">
        <f>Specifikace!E9</f>
        <v/>
      </c>
      <c r="C9" s="25" t="str">
        <f>Specifikace!C9</f>
        <v>Zóna (ATEX-IECEx)</v>
      </c>
      <c r="D9" s="26">
        <f>Specifikace!D9</f>
        <v>0</v>
      </c>
      <c r="E9" s="22"/>
      <c r="F9" s="18"/>
      <c r="G9" s="47" t="str">
        <f t="shared" si="0"/>
        <v/>
      </c>
      <c r="H9" s="18"/>
    </row>
    <row r="10" spans="1:8" x14ac:dyDescent="0.25">
      <c r="A10" s="23">
        <f>Specifikace!B10</f>
        <v>10</v>
      </c>
      <c r="B10" s="24" t="str">
        <f>Specifikace!E10</f>
        <v/>
      </c>
      <c r="C10" s="25" t="str">
        <f>Specifikace!C10</f>
        <v>Dimenze čidla (EN / ASME)</v>
      </c>
      <c r="D10" s="26">
        <f>Specifikace!D10</f>
        <v>0</v>
      </c>
      <c r="E10" s="22"/>
      <c r="F10" s="18"/>
      <c r="G10" s="47" t="str">
        <f t="shared" ref="G10" si="1">IF(MID(B10,1,1)="X",C10,"")</f>
        <v/>
      </c>
      <c r="H10" s="18"/>
    </row>
    <row r="11" spans="1:8" x14ac:dyDescent="0.25">
      <c r="A11" s="23">
        <f>Specifikace!B11</f>
        <v>11</v>
      </c>
      <c r="B11" s="24" t="str">
        <f>Specifikace!E11</f>
        <v/>
      </c>
      <c r="C11" s="25" t="str">
        <f>Specifikace!C11</f>
        <v>Příruby čidla</v>
      </c>
      <c r="D11" s="26">
        <f>Specifikace!D11</f>
        <v>0</v>
      </c>
      <c r="E11" s="22"/>
      <c r="F11" s="18"/>
      <c r="G11" s="47" t="str">
        <f t="shared" si="0"/>
        <v/>
      </c>
      <c r="H11" s="18"/>
    </row>
    <row r="12" spans="1:8" x14ac:dyDescent="0.25">
      <c r="A12" s="23">
        <f>Specifikace!B12</f>
        <v>12</v>
      </c>
      <c r="B12" s="24" t="str">
        <f>Specifikace!E12</f>
        <v/>
      </c>
      <c r="C12" s="25" t="str">
        <f>Specifikace!C12</f>
        <v>Materiál a povrchová úprava čidla</v>
      </c>
      <c r="D12" s="26">
        <f>Specifikace!D12</f>
        <v>0</v>
      </c>
      <c r="E12" s="22"/>
      <c r="F12" s="18"/>
      <c r="G12" s="47" t="str">
        <f t="shared" si="0"/>
        <v/>
      </c>
      <c r="H12" s="18"/>
    </row>
    <row r="13" spans="1:8" x14ac:dyDescent="0.25">
      <c r="A13" s="23">
        <f>Specifikace!B13</f>
        <v>13</v>
      </c>
      <c r="B13" s="24" t="str">
        <f>Specifikace!E13</f>
        <v/>
      </c>
      <c r="C13" s="25" t="str">
        <f>Specifikace!C13</f>
        <v>Materiál elektrod a zemnicích kroužků</v>
      </c>
      <c r="D13" s="26">
        <f>Specifikace!D13</f>
        <v>0</v>
      </c>
      <c r="E13" s="22"/>
      <c r="F13" s="18"/>
      <c r="G13" s="47" t="str">
        <f t="shared" si="0"/>
        <v/>
      </c>
      <c r="H13" s="18"/>
    </row>
    <row r="14" spans="1:8" x14ac:dyDescent="0.25">
      <c r="A14" s="23">
        <f>Specifikace!B14</f>
        <v>14</v>
      </c>
      <c r="B14" s="24" t="str">
        <f>Specifikace!E14</f>
        <v/>
      </c>
      <c r="C14" s="25" t="str">
        <f>Specifikace!C14</f>
        <v>Výstelka čidla</v>
      </c>
      <c r="D14" s="26">
        <f>Specifikace!D14</f>
        <v>0</v>
      </c>
      <c r="E14" s="22"/>
      <c r="F14" s="18"/>
      <c r="G14" s="47" t="str">
        <f t="shared" si="0"/>
        <v/>
      </c>
      <c r="H14" s="18"/>
    </row>
    <row r="15" spans="1:8" x14ac:dyDescent="0.25">
      <c r="A15" s="23">
        <f>Specifikace!B15</f>
        <v>15</v>
      </c>
      <c r="B15" s="24" t="str">
        <f>Specifikace!E15</f>
        <v/>
      </c>
      <c r="C15" s="25" t="str">
        <f>Specifikace!C15</f>
        <v>Krytí čidla a skříňky elektroniky</v>
      </c>
      <c r="D15" s="26" t="str">
        <f>Specifikace!D15</f>
        <v/>
      </c>
      <c r="E15" s="22"/>
      <c r="F15" s="18"/>
      <c r="G15" s="47" t="str">
        <f t="shared" si="0"/>
        <v/>
      </c>
      <c r="H15" s="18"/>
    </row>
    <row r="16" spans="1:8" x14ac:dyDescent="0.25">
      <c r="A16" s="23">
        <f>Specifikace!B16</f>
        <v>16</v>
      </c>
      <c r="B16" s="24" t="str">
        <f>Specifikace!E16</f>
        <v/>
      </c>
      <c r="C16" s="25" t="str">
        <f>Specifikace!C16</f>
        <v>Zemnicí elektroda</v>
      </c>
      <c r="D16" s="26">
        <f>Specifikace!D16</f>
        <v>0</v>
      </c>
      <c r="E16" s="22"/>
      <c r="F16" s="18"/>
      <c r="G16" s="47" t="str">
        <f t="shared" si="0"/>
        <v/>
      </c>
      <c r="H16" s="18"/>
    </row>
    <row r="17" spans="1:8" x14ac:dyDescent="0.25">
      <c r="A17" s="23">
        <f>Specifikace!B17</f>
        <v>17</v>
      </c>
      <c r="B17" s="24" t="str">
        <f>Specifikace!E17</f>
        <v/>
      </c>
      <c r="C17" s="25" t="str">
        <f>Specifikace!C17</f>
        <v>Jmenovitý tlak</v>
      </c>
      <c r="D17" s="26">
        <f>Specifikace!D17</f>
        <v>0</v>
      </c>
      <c r="E17" s="22"/>
      <c r="F17" s="18"/>
      <c r="G17" s="47" t="str">
        <f t="shared" si="0"/>
        <v/>
      </c>
      <c r="H17" s="18"/>
    </row>
    <row r="18" spans="1:8" x14ac:dyDescent="0.25">
      <c r="A18" s="23">
        <f>Specifikace!B18</f>
        <v>18</v>
      </c>
      <c r="B18" s="24" t="str">
        <f>Specifikace!E18</f>
        <v/>
      </c>
      <c r="C18" s="25" t="str">
        <f>Specifikace!C18</f>
        <v/>
      </c>
      <c r="D18" s="26">
        <f>Specifikace!D18</f>
        <v>0</v>
      </c>
      <c r="E18" s="22"/>
      <c r="F18" s="18"/>
      <c r="G18" s="47" t="str">
        <f t="shared" ref="G18" si="2">IF(MID(B18,1,1)="X",C18,"")</f>
        <v/>
      </c>
      <c r="H18" s="18"/>
    </row>
    <row r="19" spans="1:8" x14ac:dyDescent="0.25">
      <c r="A19" s="23">
        <f>Specifikace!B19</f>
        <v>19</v>
      </c>
      <c r="B19" s="24" t="str">
        <f>Specifikace!E19</f>
        <v/>
      </c>
      <c r="C19" s="25" t="str">
        <f>Specifikace!C19</f>
        <v>Provozní teplota měřeného média</v>
      </c>
      <c r="D19" s="26">
        <f>Specifikace!D19</f>
        <v>0</v>
      </c>
      <c r="E19" s="22"/>
      <c r="F19" s="18"/>
      <c r="G19" s="47" t="str">
        <f t="shared" si="0"/>
        <v/>
      </c>
      <c r="H19" s="18"/>
    </row>
    <row r="20" spans="1:8" x14ac:dyDescent="0.25">
      <c r="A20" s="23">
        <f>Specifikace!B20</f>
        <v>20</v>
      </c>
      <c r="B20" s="249" t="str">
        <f>Specifikace!E20</f>
        <v/>
      </c>
      <c r="C20" s="250" t="str">
        <f>Specifikace!C20</f>
        <v>Certifikace</v>
      </c>
      <c r="D20" s="251">
        <f>Specifikace!D20</f>
        <v>0</v>
      </c>
      <c r="E20" s="252"/>
      <c r="F20" s="18"/>
      <c r="G20" s="47" t="str">
        <f t="shared" ref="G20" si="3">IF(MID(B20,1,1)="X",C20,"")</f>
        <v/>
      </c>
      <c r="H20" s="18"/>
    </row>
    <row r="21" spans="1:8" x14ac:dyDescent="0.25">
      <c r="A21" s="23">
        <f>Specifikace!B21</f>
        <v>21</v>
      </c>
      <c r="B21" s="24" t="str">
        <f>Specifikace!E21</f>
        <v/>
      </c>
      <c r="C21" s="25" t="str">
        <f>Specifikace!C21</f>
        <v>Měřená kapalina</v>
      </c>
      <c r="D21" s="26">
        <f>Specifikace!D21</f>
        <v>0</v>
      </c>
      <c r="E21" s="22"/>
      <c r="F21" s="18"/>
      <c r="G21" s="47" t="str">
        <f t="shared" ref="G21:G26" si="4">IF(MID(B21,1,1)="X",C21,"")</f>
        <v/>
      </c>
      <c r="H21" s="18"/>
    </row>
    <row r="22" spans="1:8" x14ac:dyDescent="0.25">
      <c r="A22" s="23">
        <f>Specifikace!B22</f>
        <v>22</v>
      </c>
      <c r="B22" s="24" t="str">
        <f>Specifikace!E22</f>
        <v/>
      </c>
      <c r="C22" s="25" t="str">
        <f>Specifikace!C22</f>
        <v>Zemnicí kroužky</v>
      </c>
      <c r="D22" s="26">
        <f>Specifikace!D22</f>
        <v>0</v>
      </c>
      <c r="E22" s="22"/>
      <c r="F22" s="18"/>
      <c r="G22" s="47" t="str">
        <f t="shared" si="4"/>
        <v/>
      </c>
      <c r="H22" s="18"/>
    </row>
    <row r="23" spans="1:8" x14ac:dyDescent="0.25">
      <c r="A23" s="23">
        <f>Specifikace!B23</f>
        <v>23</v>
      </c>
      <c r="B23" s="24" t="str">
        <f>Specifikace!E23</f>
        <v/>
      </c>
      <c r="C23" s="25" t="str">
        <f>Specifikace!C23</f>
        <v>Délka kabelů</v>
      </c>
      <c r="D23" s="26">
        <f>Specifikace!D23</f>
        <v>0</v>
      </c>
      <c r="E23" s="22"/>
      <c r="F23" s="18"/>
      <c r="G23" s="47" t="str">
        <f t="shared" si="4"/>
        <v/>
      </c>
      <c r="H23" s="18"/>
    </row>
    <row r="24" spans="1:8" x14ac:dyDescent="0.25">
      <c r="A24" s="23" t="str">
        <f>Specifikace!B24</f>
        <v xml:space="preserve"> - </v>
      </c>
      <c r="B24" s="24" t="str">
        <f>Specifikace!E24</f>
        <v>-</v>
      </c>
      <c r="C24" s="25" t="str">
        <f>Specifikace!C24</f>
        <v>NASTAVENÍ PRŮTOKOMĚRU</v>
      </c>
      <c r="D24" s="26" t="str">
        <f>Specifikace!D24</f>
        <v xml:space="preserve"> - </v>
      </c>
      <c r="E24" s="22"/>
      <c r="F24" s="18"/>
      <c r="G24" s="47" t="str">
        <f t="shared" si="4"/>
        <v/>
      </c>
      <c r="H24" s="18"/>
    </row>
    <row r="25" spans="1:8" x14ac:dyDescent="0.25">
      <c r="A25" s="23">
        <f>Specifikace!B25</f>
        <v>25</v>
      </c>
      <c r="B25" s="24" t="str">
        <f>Specifikace!E25</f>
        <v/>
      </c>
      <c r="C25" s="25" t="str">
        <f>Specifikace!C25</f>
        <v>Impulzní číslo</v>
      </c>
      <c r="D25" s="26">
        <f>Specifikace!D25</f>
        <v>0</v>
      </c>
      <c r="E25" s="22"/>
      <c r="F25" s="18"/>
      <c r="G25" s="47" t="str">
        <f t="shared" si="4"/>
        <v/>
      </c>
      <c r="H25" s="18"/>
    </row>
    <row r="26" spans="1:8" x14ac:dyDescent="0.25">
      <c r="A26" s="23">
        <f>Specifikace!B26</f>
        <v>26</v>
      </c>
      <c r="B26" s="24" t="str">
        <f>Specifikace!E26</f>
        <v/>
      </c>
      <c r="C26" s="25" t="str">
        <f>Specifikace!C26</f>
        <v xml:space="preserve">Zobrazované jednotky objemu </v>
      </c>
      <c r="D26" s="26">
        <f>Specifikace!D26</f>
        <v>0</v>
      </c>
      <c r="E26" s="22"/>
      <c r="F26" s="18"/>
      <c r="G26" s="47" t="str">
        <f t="shared" si="4"/>
        <v/>
      </c>
      <c r="H26" s="18"/>
    </row>
    <row r="27" spans="1:8" x14ac:dyDescent="0.25">
      <c r="A27" s="23">
        <f>Specifikace!B27</f>
        <v>27</v>
      </c>
      <c r="B27" s="24" t="str">
        <f>Specifikace!E27</f>
        <v/>
      </c>
      <c r="C27" s="25" t="str">
        <f>Specifikace!C27</f>
        <v xml:space="preserve">Zobrazované jednotky průtoku </v>
      </c>
      <c r="D27" s="26">
        <f>Specifikace!D27</f>
        <v>0</v>
      </c>
      <c r="E27" s="22"/>
      <c r="F27" s="18"/>
      <c r="G27" s="47" t="str">
        <f t="shared" ref="G27:G52" si="5">IF(MID(B27,1,1)="X",C27,"")</f>
        <v/>
      </c>
      <c r="H27" s="18"/>
    </row>
    <row r="28" spans="1:8" x14ac:dyDescent="0.25">
      <c r="A28" s="23">
        <f>Specifikace!B28</f>
        <v>28</v>
      </c>
      <c r="B28" s="24" t="str">
        <f>Specifikace!E28</f>
        <v/>
      </c>
      <c r="C28" s="25" t="str">
        <f>Specifikace!C28</f>
        <v>Počet vzorků pro průměrování</v>
      </c>
      <c r="D28" s="26">
        <f>Specifikace!D28</f>
        <v>0</v>
      </c>
      <c r="E28" s="22"/>
      <c r="F28" s="18"/>
      <c r="G28" s="47" t="str">
        <f t="shared" si="5"/>
        <v/>
      </c>
      <c r="H28" s="18"/>
    </row>
    <row r="29" spans="1:8" x14ac:dyDescent="0.25">
      <c r="A29" s="23">
        <f>Specifikace!B29</f>
        <v>29</v>
      </c>
      <c r="B29" s="24" t="str">
        <f>Specifikace!E29</f>
        <v/>
      </c>
      <c r="C29" s="25" t="str">
        <f>Specifikace!C29</f>
        <v>Necitlivost měření</v>
      </c>
      <c r="D29" s="26">
        <f>Specifikace!D29</f>
        <v>0</v>
      </c>
      <c r="E29" s="22"/>
      <c r="F29" s="18"/>
      <c r="G29" s="47" t="str">
        <f t="shared" si="5"/>
        <v/>
      </c>
      <c r="H29" s="18"/>
    </row>
    <row r="30" spans="1:8" x14ac:dyDescent="0.25">
      <c r="A30" s="23">
        <f>Specifikace!B30</f>
        <v>30</v>
      </c>
      <c r="B30" s="24" t="str">
        <f>Specifikace!E30</f>
        <v/>
      </c>
      <c r="C30" s="25" t="str">
        <f>Specifikace!C30</f>
        <v>Zobrazovací jazyk</v>
      </c>
      <c r="D30" s="26">
        <f>Specifikace!D30</f>
        <v>0</v>
      </c>
      <c r="E30" s="22"/>
      <c r="F30" s="18"/>
      <c r="G30" s="47" t="str">
        <f t="shared" si="5"/>
        <v/>
      </c>
      <c r="H30" s="18"/>
    </row>
    <row r="31" spans="1:8" x14ac:dyDescent="0.25">
      <c r="A31" s="23">
        <f>Specifikace!B31</f>
        <v>31</v>
      </c>
      <c r="B31" s="24" t="str">
        <f>Specifikace!E31</f>
        <v/>
      </c>
      <c r="C31" s="25" t="str">
        <f>Specifikace!C31</f>
        <v>Zobrazovat</v>
      </c>
      <c r="D31" s="26">
        <f>Specifikace!D31</f>
        <v>0</v>
      </c>
      <c r="E31" s="22"/>
      <c r="F31" s="18"/>
      <c r="G31" s="47" t="str">
        <f t="shared" si="5"/>
        <v/>
      </c>
      <c r="H31" s="18"/>
    </row>
    <row r="32" spans="1:8" x14ac:dyDescent="0.25">
      <c r="A32" s="23">
        <f>Specifikace!B32</f>
        <v>32</v>
      </c>
      <c r="B32" s="24" t="str">
        <f>Specifikace!E32</f>
        <v/>
      </c>
      <c r="C32" s="25" t="str">
        <f>Specifikace!C32</f>
        <v>Průtok 100% (l/s)</v>
      </c>
      <c r="D32" s="26">
        <f>Specifikace!D32</f>
        <v>0</v>
      </c>
      <c r="E32" s="22"/>
      <c r="F32" s="18"/>
      <c r="G32" s="47" t="str">
        <f t="shared" si="5"/>
        <v/>
      </c>
      <c r="H32" s="18"/>
    </row>
    <row r="33" spans="1:8" x14ac:dyDescent="0.25">
      <c r="A33" s="23">
        <f>Specifikace!B33</f>
        <v>33</v>
      </c>
      <c r="B33" s="24" t="str">
        <f>Specifikace!E33</f>
        <v/>
      </c>
      <c r="C33" s="25" t="str">
        <f>Specifikace!C33</f>
        <v>Analogový výstup</v>
      </c>
      <c r="D33" s="26">
        <f>Specifikace!D33</f>
        <v>0</v>
      </c>
      <c r="E33" s="22"/>
      <c r="F33" s="18"/>
      <c r="G33" s="47" t="str">
        <f t="shared" si="5"/>
        <v/>
      </c>
      <c r="H33" s="18"/>
    </row>
    <row r="34" spans="1:8" x14ac:dyDescent="0.25">
      <c r="A34" s="23">
        <f>Specifikace!B34</f>
        <v>34</v>
      </c>
      <c r="B34" s="24" t="str">
        <f>Specifikace!E34</f>
        <v/>
      </c>
      <c r="C34" s="25" t="str">
        <f>Specifikace!C34</f>
        <v>Výstup OUT1</v>
      </c>
      <c r="D34" s="26">
        <f>Specifikace!D34</f>
        <v>0</v>
      </c>
      <c r="E34" s="22"/>
      <c r="F34" s="18"/>
      <c r="G34" s="47" t="str">
        <f t="shared" si="5"/>
        <v/>
      </c>
      <c r="H34" s="18"/>
    </row>
    <row r="35" spans="1:8" x14ac:dyDescent="0.25">
      <c r="A35" s="23">
        <f>Specifikace!B35</f>
        <v>35</v>
      </c>
      <c r="B35" s="24" t="str">
        <f>Specifikace!E35</f>
        <v/>
      </c>
      <c r="C35" s="25" t="str">
        <f>Specifikace!C35</f>
        <v>Funkce OUT1</v>
      </c>
      <c r="D35" s="26">
        <f>Specifikace!D35</f>
        <v>0</v>
      </c>
      <c r="E35" s="22"/>
      <c r="F35" s="18"/>
      <c r="G35" s="47" t="str">
        <f t="shared" si="5"/>
        <v/>
      </c>
      <c r="H35" s="18"/>
    </row>
    <row r="36" spans="1:8" x14ac:dyDescent="0.25">
      <c r="A36" s="23">
        <f>Specifikace!B36</f>
        <v>36</v>
      </c>
      <c r="B36" s="24" t="str">
        <f>Specifikace!E36</f>
        <v/>
      </c>
      <c r="C36" s="25" t="str">
        <f>Specifikace!C36</f>
        <v>Výstup OUT2</v>
      </c>
      <c r="D36" s="26">
        <f>Specifikace!D36</f>
        <v>0</v>
      </c>
      <c r="E36" s="22"/>
      <c r="F36" s="18"/>
      <c r="G36" s="47" t="str">
        <f t="shared" si="5"/>
        <v/>
      </c>
      <c r="H36" s="18"/>
    </row>
    <row r="37" spans="1:8" x14ac:dyDescent="0.25">
      <c r="A37" s="23">
        <f>Specifikace!B37</f>
        <v>37</v>
      </c>
      <c r="B37" s="24" t="str">
        <f>Specifikace!E37</f>
        <v/>
      </c>
      <c r="C37" s="25" t="str">
        <f>Specifikace!C37</f>
        <v>Funkce OUT2</v>
      </c>
      <c r="D37" s="26">
        <f>Specifikace!D37</f>
        <v>0</v>
      </c>
      <c r="E37" s="22"/>
      <c r="F37" s="18"/>
      <c r="G37" s="47" t="str">
        <f t="shared" si="5"/>
        <v/>
      </c>
      <c r="H37" s="18"/>
    </row>
    <row r="38" spans="1:8" x14ac:dyDescent="0.25">
      <c r="A38" s="23" t="str">
        <f>Specifikace!B38</f>
        <v xml:space="preserve"> - </v>
      </c>
      <c r="B38" s="24" t="str">
        <f>Specifikace!E38</f>
        <v>-</v>
      </c>
      <c r="C38" s="25" t="str">
        <f>Specifikace!C38</f>
        <v>NASTAVENÍ KOMUNIKACE</v>
      </c>
      <c r="D38" s="26" t="str">
        <f>Specifikace!D38</f>
        <v xml:space="preserve"> - </v>
      </c>
      <c r="E38" s="22"/>
      <c r="F38" s="18"/>
      <c r="G38" s="47" t="str">
        <f t="shared" si="5"/>
        <v/>
      </c>
      <c r="H38" s="18"/>
    </row>
    <row r="39" spans="1:8" x14ac:dyDescent="0.25">
      <c r="A39" s="23">
        <f>Specifikace!B39</f>
        <v>39</v>
      </c>
      <c r="B39" s="24" t="str">
        <f>Specifikace!E39</f>
        <v/>
      </c>
      <c r="C39" s="25" t="str">
        <f>Specifikace!C39</f>
        <v>Rozhraní</v>
      </c>
      <c r="D39" s="26">
        <f>Specifikace!D39</f>
        <v>0</v>
      </c>
      <c r="E39" s="22"/>
      <c r="F39" s="18"/>
      <c r="G39" s="47" t="str">
        <f t="shared" si="5"/>
        <v/>
      </c>
      <c r="H39" s="18"/>
    </row>
    <row r="40" spans="1:8" x14ac:dyDescent="0.25">
      <c r="A40" s="23">
        <f>Specifikace!B40</f>
        <v>40</v>
      </c>
      <c r="B40" s="254" t="str">
        <f>Specifikace!E40</f>
        <v/>
      </c>
      <c r="C40" s="25" t="str">
        <f>Specifikace!C40</f>
        <v>Adresa - zapište z rozsahu 1 až 247</v>
      </c>
      <c r="D40" s="26">
        <f>Specifikace!D40</f>
        <v>0</v>
      </c>
      <c r="E40" s="22"/>
      <c r="F40" s="18"/>
      <c r="G40" s="47" t="str">
        <f t="shared" si="5"/>
        <v/>
      </c>
      <c r="H40" s="18"/>
    </row>
    <row r="41" spans="1:8" x14ac:dyDescent="0.25">
      <c r="A41" s="23">
        <f>Specifikace!B41</f>
        <v>41</v>
      </c>
      <c r="B41" s="24" t="str">
        <f>Specifikace!E41</f>
        <v/>
      </c>
      <c r="C41" s="25" t="str">
        <f>Specifikace!C41</f>
        <v>Rychlost přenosu</v>
      </c>
      <c r="D41" s="26">
        <f>Specifikace!D41</f>
        <v>0</v>
      </c>
      <c r="E41" s="22"/>
      <c r="F41" s="18"/>
      <c r="G41" s="47" t="str">
        <f t="shared" si="5"/>
        <v/>
      </c>
      <c r="H41" s="18"/>
    </row>
    <row r="42" spans="1:8" x14ac:dyDescent="0.25">
      <c r="A42" s="23">
        <f>Specifikace!B42</f>
        <v>42</v>
      </c>
      <c r="B42" s="24" t="str">
        <f>Specifikace!E42</f>
        <v/>
      </c>
      <c r="C42" s="25" t="str">
        <f>Specifikace!C42</f>
        <v>HART®</v>
      </c>
      <c r="D42" s="26" t="str">
        <f>Specifikace!D42</f>
        <v>Není požadováno</v>
      </c>
      <c r="E42" s="22"/>
      <c r="F42" s="18"/>
      <c r="G42" s="47" t="str">
        <f t="shared" si="5"/>
        <v/>
      </c>
      <c r="H42" s="18"/>
    </row>
    <row r="43" spans="1:8" x14ac:dyDescent="0.25">
      <c r="A43" s="23">
        <f>Specifikace!B43</f>
        <v>43</v>
      </c>
      <c r="B43" s="24" t="str">
        <f>Specifikace!E43</f>
        <v/>
      </c>
      <c r="C43" s="25" t="str">
        <f>Specifikace!C43</f>
        <v>FLOSET 4.0 včetně příslušenství</v>
      </c>
      <c r="D43" s="26">
        <f>Specifikace!D43</f>
        <v>0</v>
      </c>
      <c r="E43" s="22"/>
      <c r="F43" s="18"/>
      <c r="G43" s="47" t="str">
        <f t="shared" si="5"/>
        <v/>
      </c>
      <c r="H43" s="18"/>
    </row>
    <row r="44" spans="1:8" x14ac:dyDescent="0.25">
      <c r="A44" s="23" t="str">
        <f>Specifikace!B44</f>
        <v xml:space="preserve"> - </v>
      </c>
      <c r="B44" s="24" t="str">
        <f>Specifikace!E44</f>
        <v>-</v>
      </c>
      <c r="C44" s="25" t="str">
        <f>Specifikace!C44</f>
        <v>METROLOGICKÉ POŽADAVKY</v>
      </c>
      <c r="D44" s="26" t="str">
        <f>Specifikace!D44</f>
        <v xml:space="preserve"> - </v>
      </c>
      <c r="E44" s="22"/>
      <c r="F44" s="18"/>
      <c r="G44" s="47" t="str">
        <f t="shared" si="5"/>
        <v/>
      </c>
      <c r="H44" s="18"/>
    </row>
    <row r="45" spans="1:8" x14ac:dyDescent="0.25">
      <c r="A45" s="23">
        <f>Specifikace!B45</f>
        <v>45</v>
      </c>
      <c r="B45" s="24" t="str">
        <f>Specifikace!E45</f>
        <v/>
      </c>
      <c r="C45" s="25" t="str">
        <f>Specifikace!C45</f>
        <v>Metrologický požadavek</v>
      </c>
      <c r="D45" s="26">
        <f>Specifikace!D45</f>
        <v>0</v>
      </c>
      <c r="E45" s="22"/>
      <c r="F45" s="18"/>
      <c r="G45" s="47" t="str">
        <f t="shared" si="5"/>
        <v/>
      </c>
      <c r="H45" s="18"/>
    </row>
    <row r="46" spans="1:8" x14ac:dyDescent="0.25">
      <c r="A46" s="23" t="str">
        <f>Specifikace!B46</f>
        <v xml:space="preserve"> - </v>
      </c>
      <c r="B46" s="24" t="str">
        <f>Specifikace!E46</f>
        <v>-</v>
      </c>
      <c r="C46" s="25" t="str">
        <f>Specifikace!C46</f>
        <v>DALŠÍ OBCHODNÍ POŽADAVKY</v>
      </c>
      <c r="D46" s="26" t="str">
        <f>Specifikace!D46</f>
        <v xml:space="preserve"> - </v>
      </c>
      <c r="E46" s="22"/>
      <c r="F46" s="18"/>
      <c r="G46" s="47" t="str">
        <f t="shared" si="5"/>
        <v/>
      </c>
      <c r="H46" s="18"/>
    </row>
    <row r="47" spans="1:8" x14ac:dyDescent="0.25">
      <c r="A47" s="23">
        <f>Specifikace!B47</f>
        <v>47</v>
      </c>
      <c r="B47" s="254" t="str">
        <f>Specifikace!E47</f>
        <v/>
      </c>
      <c r="C47" s="25" t="str">
        <f>Specifikace!C47</f>
        <v>Počet kusů</v>
      </c>
      <c r="D47" s="26">
        <f>Specifikace!D47</f>
        <v>0</v>
      </c>
      <c r="E47" s="22"/>
      <c r="F47" s="18"/>
      <c r="G47" s="47" t="str">
        <f t="shared" si="5"/>
        <v/>
      </c>
      <c r="H47" s="18"/>
    </row>
    <row r="48" spans="1:8" x14ac:dyDescent="0.25">
      <c r="A48" s="23">
        <f>Specifikace!B48</f>
        <v>48</v>
      </c>
      <c r="B48" s="24" t="str">
        <f>Specifikace!E48</f>
        <v/>
      </c>
      <c r="C48" s="25" t="str">
        <f>Specifikace!C48</f>
        <v>Balení</v>
      </c>
      <c r="D48" s="26">
        <f>Specifikace!D48</f>
        <v>0</v>
      </c>
      <c r="E48" s="22"/>
      <c r="F48" s="18"/>
      <c r="G48" s="47" t="str">
        <f t="shared" si="5"/>
        <v/>
      </c>
      <c r="H48" s="18"/>
    </row>
    <row r="49" spans="1:8" x14ac:dyDescent="0.25">
      <c r="A49" s="23">
        <f>Specifikace!B49</f>
        <v>49</v>
      </c>
      <c r="B49" s="24" t="str">
        <f>Specifikace!E49</f>
        <v/>
      </c>
      <c r="C49" s="25" t="str">
        <f>Specifikace!C49</f>
        <v>Způsob předání</v>
      </c>
      <c r="D49" s="26">
        <f>Specifikace!D49</f>
        <v>0</v>
      </c>
      <c r="E49" s="22"/>
      <c r="F49" s="18"/>
      <c r="G49" s="47" t="str">
        <f t="shared" si="5"/>
        <v/>
      </c>
      <c r="H49" s="18"/>
    </row>
    <row r="50" spans="1:8" x14ac:dyDescent="0.25">
      <c r="A50" s="23">
        <f>Specifikace!B50</f>
        <v>50</v>
      </c>
      <c r="B50" s="24" t="str">
        <f>Specifikace!E50</f>
        <v/>
      </c>
      <c r="C50" s="25" t="str">
        <f>Specifikace!C50</f>
        <v>Záruka</v>
      </c>
      <c r="D50" s="26">
        <f>Specifikace!D50</f>
        <v>0</v>
      </c>
      <c r="E50" s="22"/>
      <c r="F50" s="18"/>
      <c r="G50" s="47" t="str">
        <f t="shared" si="5"/>
        <v/>
      </c>
      <c r="H50" s="18"/>
    </row>
    <row r="51" spans="1:8" x14ac:dyDescent="0.25">
      <c r="A51" s="23" t="str">
        <f>Specifikace!B51</f>
        <v xml:space="preserve"> - </v>
      </c>
      <c r="B51" s="24" t="str">
        <f>Specifikace!E51</f>
        <v>-</v>
      </c>
      <c r="C51" s="25" t="str">
        <f>Specifikace!C51</f>
        <v>SOUVISÍCÍ PŘEDPISY</v>
      </c>
      <c r="D51" s="26" t="str">
        <f>Specifikace!D51</f>
        <v xml:space="preserve"> - </v>
      </c>
      <c r="E51" s="22"/>
      <c r="F51" s="18"/>
      <c r="G51" s="47" t="str">
        <f t="shared" si="5"/>
        <v/>
      </c>
      <c r="H51" s="18"/>
    </row>
    <row r="52" spans="1:8" x14ac:dyDescent="0.25">
      <c r="A52" s="23">
        <f>Specifikace!B52</f>
        <v>52</v>
      </c>
      <c r="B52" s="24" t="str">
        <f>Specifikace!E52</f>
        <v/>
      </c>
      <c r="C52" s="25" t="str">
        <f>Specifikace!C52</f>
        <v>Evidenční číslo manuálu průtokoměru</v>
      </c>
      <c r="D52" s="26" t="str">
        <f>Specifikace!D52</f>
        <v/>
      </c>
      <c r="E52" s="22"/>
      <c r="F52" s="18"/>
      <c r="G52" s="47" t="str">
        <f t="shared" si="5"/>
        <v/>
      </c>
      <c r="H52" s="18"/>
    </row>
  </sheetData>
  <sheetProtection algorithmName="SHA-512" hashValue="z5gNOShQffxNqpRKcH/WFhQatJuTkNnNlE2KczfKzp/uzn81xVhkVtkDP48SRacqPk1cIJCsxJfVkLlZTLa7ew==" saltValue="g+GAHx7BtALZD3CmcYW1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73</vt:i4>
      </vt:variant>
    </vt:vector>
  </HeadingPairs>
  <TitlesOfParts>
    <vt:vector size="79" baseType="lpstr">
      <vt:lpstr>Specifikace</vt:lpstr>
      <vt:lpstr>List1</vt:lpstr>
      <vt:lpstr>Data</vt:lpstr>
      <vt:lpstr>Teploty</vt:lpstr>
      <vt:lpstr>Impulzní čísla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Specifikace!Oblast_tisku</vt:lpstr>
      <vt:lpstr>OC_AV</vt:lpstr>
      <vt:lpstr>OC_AV_kod</vt:lpstr>
      <vt:lpstr>OC_B</vt:lpstr>
      <vt:lpstr>OC_DC</vt:lpstr>
      <vt:lpstr>OC_DC_kod</vt:lpstr>
      <vt:lpstr>OC_DK</vt:lpstr>
      <vt:lpstr>OC_DK_kod</vt:lpstr>
      <vt:lpstr>OC_F4vp</vt:lpstr>
      <vt:lpstr>OC_FOUT1</vt:lpstr>
      <vt:lpstr>OC_FOUT2</vt:lpstr>
      <vt:lpstr>OC_H</vt:lpstr>
      <vt:lpstr>OC_IC</vt:lpstr>
      <vt:lpstr>OC_JIC</vt:lpstr>
      <vt:lpstr>OC_JIC_kod</vt:lpstr>
      <vt:lpstr>OC_JO</vt:lpstr>
      <vt:lpstr>OC_JO_kod</vt:lpstr>
      <vt:lpstr>OC_JP</vt:lpstr>
      <vt:lpstr>OC_JP_kod</vt:lpstr>
      <vt:lpstr>OC_JT</vt:lpstr>
      <vt:lpstr>OC_JT_ASME</vt:lpstr>
      <vt:lpstr>OC_JT_EN</vt:lpstr>
      <vt:lpstr>OC_JT_kod</vt:lpstr>
      <vt:lpstr>OC_KC</vt:lpstr>
      <vt:lpstr>OC_KPP</vt:lpstr>
      <vt:lpstr>OC_MaPUC</vt:lpstr>
      <vt:lpstr>OC_MaPUC_kod</vt:lpstr>
      <vt:lpstr>OC_ME</vt:lpstr>
      <vt:lpstr>OC_ME_kod</vt:lpstr>
      <vt:lpstr>OC_MP</vt:lpstr>
      <vt:lpstr>OC_MPTM</vt:lpstr>
      <vt:lpstr>OC_MPTM_kod</vt:lpstr>
      <vt:lpstr>OC_MT</vt:lpstr>
      <vt:lpstr>OC_NM</vt:lpstr>
      <vt:lpstr>OC_PC</vt:lpstr>
      <vt:lpstr>OC_PC_kod</vt:lpstr>
      <vt:lpstr>OC_PMC</vt:lpstr>
      <vt:lpstr>OC_Prut</vt:lpstr>
      <vt:lpstr>OC_PS</vt:lpstr>
      <vt:lpstr>OC_PS_kod</vt:lpstr>
      <vt:lpstr>OC_Pt</vt:lpstr>
      <vt:lpstr>OC_PVpP</vt:lpstr>
      <vt:lpstr>OC_R</vt:lpstr>
      <vt:lpstr>OC_RP</vt:lpstr>
      <vt:lpstr>OC_Tt</vt:lpstr>
      <vt:lpstr>OC_TtPt_kod</vt:lpstr>
      <vt:lpstr>OC_VC</vt:lpstr>
      <vt:lpstr>OC_VC_kod</vt:lpstr>
      <vt:lpstr>OC_VE</vt:lpstr>
      <vt:lpstr>OC_VE_kod</vt:lpstr>
      <vt:lpstr>OC_VOUT1</vt:lpstr>
      <vt:lpstr>OC_VOUT1_kod</vt:lpstr>
      <vt:lpstr>OC_VOUT2</vt:lpstr>
      <vt:lpstr>OC_VOUT2_kod</vt:lpstr>
      <vt:lpstr>OC_Z</vt:lpstr>
      <vt:lpstr>OC_ZE</vt:lpstr>
      <vt:lpstr>OC_ZJ</vt:lpstr>
      <vt:lpstr>OC_ZJ_kod</vt:lpstr>
      <vt:lpstr>OC_ZK</vt:lpstr>
      <vt:lpstr>OC_Zobr</vt:lpstr>
      <vt:lpstr>OC_Zobr_kod</vt:lpstr>
      <vt:lpstr>OC_Zon</vt:lpstr>
      <vt:lpstr>OC_Zon_kod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2024-01-24T12:00:37Z</cp:lastPrinted>
  <dcterms:created xsi:type="dcterms:W3CDTF">2019-05-29T08:44:12Z</dcterms:created>
  <dcterms:modified xsi:type="dcterms:W3CDTF">2024-07-18T09:07:55Z</dcterms:modified>
</cp:coreProperties>
</file>