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ladimir.chvojka.ELISFLOW\Documents\_ROZPRAC\_SpecTab\Hotové\"/>
    </mc:Choice>
  </mc:AlternateContent>
  <xr:revisionPtr revIDLastSave="0" documentId="13_ncr:1_{51BE8B40-3D1D-4788-992C-6E5C1DF44A0E}" xr6:coauthVersionLast="47" xr6:coauthVersionMax="47" xr10:uidLastSave="{00000000-0000-0000-0000-000000000000}"/>
  <workbookProtection workbookPassword="C0B0" lockStructure="1"/>
  <bookViews>
    <workbookView xWindow="-120" yWindow="-120" windowWidth="29040" windowHeight="15840" xr2:uid="{00000000-000D-0000-FFFF-FFFF00000000}"/>
  </bookViews>
  <sheets>
    <sheet name="Specifikace" sheetId="1" r:id="rId1"/>
    <sheet name="Data" sheetId="2" state="hidden" r:id="rId2"/>
    <sheet name="Tech" sheetId="3" state="hidden" r:id="rId3"/>
    <sheet name="Dekod" sheetId="7" state="hidden" r:id="rId4"/>
  </sheets>
  <definedNames>
    <definedName name="Hodnoty" localSheetId="3">Dekod!$D$7:$D$55</definedName>
    <definedName name="Hodnoty">Specifikace!$D$5:$D$53</definedName>
    <definedName name="HodnotyHW" localSheetId="3">Dekod!$D$7:$D$23</definedName>
    <definedName name="HodnotyHW">Specifikace!$D$5:$D$18</definedName>
    <definedName name="KodyOC" localSheetId="3">Dekod!$E$7:$E$55</definedName>
    <definedName name="KodyOC">Specifikace!$E$5:$E$53</definedName>
    <definedName name="KodyOC_HW" localSheetId="3">Dekod!$E$7:$E$23</definedName>
    <definedName name="KodyOC_HW">Specifikace!$E$5:$E$18</definedName>
    <definedName name="Man_4011MID">Data!$A$309</definedName>
    <definedName name="Man_4015.1_4025.1">Data!$A$307</definedName>
    <definedName name="Man_4015_4025">Data!$A$305</definedName>
    <definedName name="Man_4041MID">Data!$A$310</definedName>
    <definedName name="Man_4045.1_4065.1">Data!$A$308</definedName>
    <definedName name="Man_4045_4065">Data!$A$306</definedName>
    <definedName name="NezadanHW">Tech!$F$2</definedName>
    <definedName name="Nezadano">Tech!$F$1</definedName>
    <definedName name="_xlnm.Print_Area" localSheetId="3">Dekod!$B$1:$F$62</definedName>
    <definedName name="_xlnm.Print_Area" localSheetId="0">Specifikace!$B$1:$E$70</definedName>
    <definedName name="OC_ACH">Data!#REF!</definedName>
    <definedName name="OC_B">Data!$A$289:$A$291</definedName>
    <definedName name="OC_BV">Data!$A$169:$A$184</definedName>
    <definedName name="OC_CE">Data!#REF!</definedName>
    <definedName name="OC_D">Data!#REF!</definedName>
    <definedName name="OC_D2R">Data!$A$191:$A$194</definedName>
    <definedName name="OC_DC">Data!$A$11:$A$32</definedName>
    <definedName name="OC_DK">Data!$A$108:$A$120</definedName>
    <definedName name="OC_DM">Data!$A$122:$A$125</definedName>
    <definedName name="OC_DTdPED">Data!$A$76:$A$81</definedName>
    <definedName name="OC_FV">Data!$A$157:$A$162</definedName>
    <definedName name="OC_IC">Data!$A$132:$A$142</definedName>
    <definedName name="OC_INP">Data!#REF!</definedName>
    <definedName name="OC_JH">Data!$A$223:$A$227</definedName>
    <definedName name="OC_JHP">Data!$A$230:$A$242</definedName>
    <definedName name="OC_JIC">Data!$A$146:$A$155</definedName>
    <definedName name="OC_JO">Data!$A$197:$A$202</definedName>
    <definedName name="OC_JOP">Data!$A$205:$A$220</definedName>
    <definedName name="OC_JR">Data!$A$249:$A$250</definedName>
    <definedName name="OC_JT">Data!$A$51:$A$56</definedName>
    <definedName name="OC_JTep">Data!$A$245:$A$246</definedName>
    <definedName name="OC_JZP">Data!#REF!</definedName>
    <definedName name="OC_KC">Data!#REF!</definedName>
    <definedName name="OC_KCsS">Data!$A$48:$A$49</definedName>
    <definedName name="OC_KdPED">Data!$A$84:$A$87</definedName>
    <definedName name="OC_MaPUC">Data!$A$42:$A$46</definedName>
    <definedName name="OC_MDT">Data!#REF!</definedName>
    <definedName name="OC_ME">Data!#REF!</definedName>
    <definedName name="OC_MP">Data!$A$280:$A$285</definedName>
    <definedName name="OC_MPTM">Data!$A$61:$A$67</definedName>
    <definedName name="OC_MT">Data!$A$89:$A$103</definedName>
    <definedName name="OC_MVP">Data!$A$58:$A$59</definedName>
    <definedName name="OC_N">Data!$A$69:$A$71</definedName>
    <definedName name="OC_NM">Data!$A$127:$A$130</definedName>
    <definedName name="OC_P">Data!$A$274:$A$278</definedName>
    <definedName name="OC_PC">Data!$A$34:$A$40</definedName>
    <definedName name="OC_PMC">Data!$A$2:$A$5</definedName>
    <definedName name="OC_PV">Data!$A$164:$A$167</definedName>
    <definedName name="OC_PVpP">Data!#REF!</definedName>
    <definedName name="OC_R">Data!$A$261:$A$263</definedName>
    <definedName name="OC_RP">Data!$A$270:$A$271</definedName>
    <definedName name="OC_SVE">Data!$A$73:$A$74</definedName>
    <definedName name="OC_UMT">Data!$A$105:$A$106</definedName>
    <definedName name="OC_VaPP">Data!$A$7:$A$9</definedName>
    <definedName name="OC_VC">Data!#REF!</definedName>
    <definedName name="OC_VD">Data!#REF!</definedName>
    <definedName name="OC_Z">Data!$A$298:$A$303</definedName>
    <definedName name="OC_ZE">Data!#REF!</definedName>
    <definedName name="OC_ZJ">Data!$A$253:$A$259</definedName>
    <definedName name="OC_ZK">Data!#REF!</definedName>
    <definedName name="OC_ZP">Data!$A$293:$A$296</definedName>
    <definedName name="Parametry" localSheetId="3">Dekod!$B$6:$C$55</definedName>
    <definedName name="Parametry">Specifikace!$B$4:$C$54</definedName>
    <definedName name="Preddef_hodn">Data!$A$1:$B$303</definedName>
    <definedName name="SoupisNP">Tech!$H$1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1" l="1"/>
  <c r="E25" i="1" l="1"/>
  <c r="E40" i="1"/>
  <c r="E15" i="1"/>
  <c r="E43" i="1" l="1"/>
  <c r="H44" i="1"/>
  <c r="E44" i="1"/>
  <c r="D43" i="1"/>
  <c r="H40" i="1"/>
  <c r="H41" i="1"/>
  <c r="E17" i="1"/>
  <c r="E55" i="7" l="1"/>
  <c r="D55" i="7" s="1"/>
  <c r="E53" i="7"/>
  <c r="D53" i="7" s="1"/>
  <c r="E52" i="7"/>
  <c r="D52" i="7" s="1"/>
  <c r="E51" i="7"/>
  <c r="D51" i="7" s="1"/>
  <c r="E50" i="7" l="1"/>
  <c r="D50" i="7" s="1"/>
  <c r="E48" i="7"/>
  <c r="D48" i="7" s="1"/>
  <c r="E46" i="7" l="1"/>
  <c r="D46" i="7" s="1"/>
  <c r="E45" i="7"/>
  <c r="D45" i="7" s="1"/>
  <c r="E44" i="7"/>
  <c r="D44" i="7" s="1"/>
  <c r="E43" i="7" l="1"/>
  <c r="D43" i="7" s="1"/>
  <c r="E42" i="7"/>
  <c r="D42" i="7" s="1"/>
  <c r="E40" i="7"/>
  <c r="D40" i="7" s="1"/>
  <c r="E39" i="7"/>
  <c r="D39" i="7" s="1"/>
  <c r="E38" i="7"/>
  <c r="D38" i="7" s="1"/>
  <c r="E37" i="7"/>
  <c r="D37" i="7" s="1"/>
  <c r="E36" i="7"/>
  <c r="D36" i="7" s="1"/>
  <c r="E35" i="7"/>
  <c r="D35" i="7" s="1"/>
  <c r="E34" i="7"/>
  <c r="D34" i="7" s="1"/>
  <c r="E33" i="7"/>
  <c r="D33" i="7" s="1"/>
  <c r="E32" i="7"/>
  <c r="D32" i="7" s="1"/>
  <c r="E31" i="7"/>
  <c r="D31" i="7" s="1"/>
  <c r="E30" i="7"/>
  <c r="D30" i="7" s="1"/>
  <c r="E29" i="7"/>
  <c r="D29" i="7" s="1"/>
  <c r="E28" i="7"/>
  <c r="D28" i="7" s="1"/>
  <c r="E27" i="7"/>
  <c r="D27" i="7" s="1"/>
  <c r="E26" i="7"/>
  <c r="D26" i="7" s="1"/>
  <c r="E25" i="7"/>
  <c r="D25" i="7" s="1"/>
  <c r="E23" i="7"/>
  <c r="D23" i="7" s="1"/>
  <c r="E22" i="7"/>
  <c r="D22" i="7" s="1"/>
  <c r="E21" i="7"/>
  <c r="D21" i="7" s="1"/>
  <c r="E20" i="7"/>
  <c r="D20" i="7" s="1"/>
  <c r="E19" i="7"/>
  <c r="D19" i="7" s="1"/>
  <c r="E18" i="7" l="1"/>
  <c r="D18" i="7" s="1"/>
  <c r="E17" i="7"/>
  <c r="D17" i="7" s="1"/>
  <c r="E16" i="7" l="1"/>
  <c r="D16" i="7" s="1"/>
  <c r="E15" i="7"/>
  <c r="D15" i="7" s="1"/>
  <c r="E14" i="7"/>
  <c r="D14" i="7" s="1"/>
  <c r="E13" i="7"/>
  <c r="D13" i="7" s="1"/>
  <c r="E12" i="7"/>
  <c r="D12" i="7" s="1"/>
  <c r="E11" i="7"/>
  <c r="E10" i="7"/>
  <c r="D10" i="7" s="1"/>
  <c r="E7" i="7"/>
  <c r="A19" i="3" l="1"/>
  <c r="C19" i="3"/>
  <c r="D19" i="3"/>
  <c r="A20" i="3"/>
  <c r="C20" i="3"/>
  <c r="D20" i="3"/>
  <c r="A21" i="3"/>
  <c r="C21" i="3"/>
  <c r="D21" i="3"/>
  <c r="A22" i="3"/>
  <c r="B22" i="3"/>
  <c r="C22" i="3"/>
  <c r="D22" i="3"/>
  <c r="A23" i="3"/>
  <c r="C23" i="3"/>
  <c r="D23" i="3"/>
  <c r="A24" i="3"/>
  <c r="C24" i="3"/>
  <c r="D24" i="3"/>
  <c r="A25" i="3"/>
  <c r="C25" i="3"/>
  <c r="D25" i="3"/>
  <c r="A26" i="3"/>
  <c r="C26" i="3"/>
  <c r="D26" i="3"/>
  <c r="A27" i="3"/>
  <c r="C27" i="3"/>
  <c r="D27" i="3"/>
  <c r="A28" i="3"/>
  <c r="C28" i="3"/>
  <c r="D28" i="3"/>
  <c r="A29" i="3"/>
  <c r="C29" i="3"/>
  <c r="D29" i="3"/>
  <c r="A30" i="3"/>
  <c r="C30" i="3"/>
  <c r="A31" i="3"/>
  <c r="C31" i="3"/>
  <c r="D31" i="3"/>
  <c r="A32" i="3"/>
  <c r="C32" i="3"/>
  <c r="D32" i="3"/>
  <c r="A33" i="3"/>
  <c r="C33" i="3"/>
  <c r="D33" i="3"/>
  <c r="A34" i="3"/>
  <c r="C34" i="3"/>
  <c r="D34" i="3"/>
  <c r="A35" i="3"/>
  <c r="C35" i="3"/>
  <c r="D35" i="3"/>
  <c r="A36" i="3"/>
  <c r="C36" i="3"/>
  <c r="D36" i="3"/>
  <c r="A37" i="3"/>
  <c r="C37" i="3"/>
  <c r="D37" i="3"/>
  <c r="A38" i="3"/>
  <c r="C38" i="3"/>
  <c r="D38" i="3"/>
  <c r="A39" i="3"/>
  <c r="B39" i="3"/>
  <c r="C39" i="3"/>
  <c r="D39" i="3"/>
  <c r="A40" i="3"/>
  <c r="C40" i="3"/>
  <c r="D40" i="3"/>
  <c r="A41" i="3"/>
  <c r="C41" i="3"/>
  <c r="D41" i="3"/>
  <c r="A42" i="3"/>
  <c r="C42" i="3"/>
  <c r="D42" i="3"/>
  <c r="A43" i="3"/>
  <c r="C43" i="3"/>
  <c r="A44" i="3"/>
  <c r="C44" i="3"/>
  <c r="D44" i="3"/>
  <c r="A45" i="3"/>
  <c r="B45" i="3"/>
  <c r="C45" i="3"/>
  <c r="D45" i="3"/>
  <c r="A46" i="3"/>
  <c r="C46" i="3"/>
  <c r="D46" i="3"/>
  <c r="A47" i="3"/>
  <c r="B47" i="3"/>
  <c r="C47" i="3"/>
  <c r="D47" i="3"/>
  <c r="A48" i="3"/>
  <c r="C48" i="3"/>
  <c r="D48" i="3"/>
  <c r="A49" i="3"/>
  <c r="C49" i="3"/>
  <c r="D49" i="3"/>
  <c r="A50" i="3"/>
  <c r="C50" i="3"/>
  <c r="D50" i="3"/>
  <c r="A51" i="3"/>
  <c r="C51" i="3"/>
  <c r="D51" i="3"/>
  <c r="A52" i="3"/>
  <c r="B52" i="3"/>
  <c r="C52" i="3"/>
  <c r="D52" i="3"/>
  <c r="A53" i="3"/>
  <c r="C53" i="3"/>
  <c r="A15" i="3"/>
  <c r="C15" i="3"/>
  <c r="D15" i="3"/>
  <c r="A16" i="3"/>
  <c r="C16" i="3"/>
  <c r="D16" i="3"/>
  <c r="A17" i="3"/>
  <c r="C17" i="3"/>
  <c r="D17" i="3"/>
  <c r="A18" i="3"/>
  <c r="C18" i="3"/>
  <c r="D18" i="3"/>
  <c r="A11" i="3"/>
  <c r="C11" i="3"/>
  <c r="D11" i="3"/>
  <c r="A12" i="3"/>
  <c r="C12" i="3"/>
  <c r="D12" i="3"/>
  <c r="A13" i="3"/>
  <c r="C13" i="3"/>
  <c r="D13" i="3"/>
  <c r="A14" i="3"/>
  <c r="C14" i="3"/>
  <c r="D14" i="3"/>
  <c r="A6" i="3"/>
  <c r="C6" i="3"/>
  <c r="D6" i="3"/>
  <c r="A7" i="3"/>
  <c r="C7" i="3"/>
  <c r="D7" i="3"/>
  <c r="A8" i="3"/>
  <c r="C8" i="3"/>
  <c r="D8" i="3"/>
  <c r="A9" i="3"/>
  <c r="C9" i="3"/>
  <c r="D9" i="3"/>
  <c r="A10" i="3"/>
  <c r="C10" i="3"/>
  <c r="D10" i="3"/>
  <c r="H42" i="1" l="1"/>
  <c r="B40" i="3"/>
  <c r="E29" i="1"/>
  <c r="B29" i="3" s="1"/>
  <c r="E28" i="1"/>
  <c r="E27" i="1"/>
  <c r="B27" i="3" s="1"/>
  <c r="B28" i="3" l="1"/>
  <c r="B25" i="3"/>
  <c r="E24" i="1"/>
  <c r="B24" i="3" s="1"/>
  <c r="E23" i="1"/>
  <c r="E21" i="1"/>
  <c r="B21" i="3" s="1"/>
  <c r="E19" i="1"/>
  <c r="E20" i="1"/>
  <c r="E16" i="1"/>
  <c r="B15" i="3"/>
  <c r="E14" i="1"/>
  <c r="B14" i="3" s="1"/>
  <c r="E13" i="1"/>
  <c r="B19" i="3" l="1"/>
  <c r="H28" i="1"/>
  <c r="B23" i="3"/>
  <c r="H13" i="1"/>
  <c r="B13" i="3"/>
  <c r="H20" i="1"/>
  <c r="B20" i="3"/>
  <c r="E7" i="1"/>
  <c r="B7" i="3" s="1"/>
  <c r="B16" i="3"/>
  <c r="E26" i="1"/>
  <c r="E12" i="1"/>
  <c r="B12" i="3" s="1"/>
  <c r="H26" i="1" l="1"/>
  <c r="B26" i="3"/>
  <c r="H11" i="1"/>
  <c r="E10" i="1"/>
  <c r="B10" i="3" s="1"/>
  <c r="E6" i="1" l="1"/>
  <c r="D30" i="1" l="1"/>
  <c r="E38" i="1"/>
  <c r="H38" i="1" s="1"/>
  <c r="E34" i="1"/>
  <c r="H34" i="1" s="1"/>
  <c r="E35" i="1"/>
  <c r="H35" i="1" s="1"/>
  <c r="E36" i="1"/>
  <c r="H36" i="1" s="1"/>
  <c r="E32" i="1"/>
  <c r="H32" i="1" s="1"/>
  <c r="E37" i="1"/>
  <c r="H37" i="1" s="1"/>
  <c r="E33" i="1"/>
  <c r="E30" i="1"/>
  <c r="E31" i="1"/>
  <c r="H31" i="1" s="1"/>
  <c r="H16" i="1"/>
  <c r="G16" i="1"/>
  <c r="B6" i="3"/>
  <c r="E5" i="1"/>
  <c r="B38" i="3" l="1"/>
  <c r="B37" i="3"/>
  <c r="A282" i="2"/>
  <c r="A19" i="2"/>
  <c r="A48" i="2"/>
  <c r="A21" i="2"/>
  <c r="A20" i="2"/>
  <c r="H6" i="1"/>
  <c r="B30" i="3"/>
  <c r="B36" i="3"/>
  <c r="H33" i="1"/>
  <c r="B33" i="3"/>
  <c r="B34" i="3"/>
  <c r="B31" i="3"/>
  <c r="B32" i="3"/>
  <c r="B35" i="3"/>
  <c r="H12" i="1"/>
  <c r="H10" i="1"/>
  <c r="E8" i="1" l="1"/>
  <c r="H9" i="1" s="1"/>
  <c r="E46" i="1"/>
  <c r="E11" i="1"/>
  <c r="B11" i="3" s="1"/>
  <c r="D53" i="1" l="1"/>
  <c r="E53" i="1" s="1"/>
  <c r="B46" i="3"/>
  <c r="H46" i="1"/>
  <c r="G12" i="1"/>
  <c r="B8" i="3"/>
  <c r="H8" i="1"/>
  <c r="D7" i="7"/>
  <c r="D11" i="7"/>
  <c r="E8" i="7"/>
  <c r="D8" i="7" s="1"/>
  <c r="B53" i="3" l="1"/>
  <c r="D53" i="3"/>
  <c r="E49" i="1"/>
  <c r="B49" i="3" s="1"/>
  <c r="E48" i="1" l="1"/>
  <c r="B48" i="3" s="1"/>
  <c r="G14" i="1" l="1"/>
  <c r="H18" i="1" l="1"/>
  <c r="B17" i="3"/>
  <c r="E42" i="1"/>
  <c r="B42" i="3" s="1"/>
  <c r="E41" i="1"/>
  <c r="B41" i="3" s="1"/>
  <c r="E18" i="1"/>
  <c r="B18" i="3" s="1"/>
  <c r="B9" i="3"/>
  <c r="G7" i="3"/>
  <c r="G25" i="3"/>
  <c r="G48" i="3"/>
  <c r="G55" i="3"/>
  <c r="G56" i="3"/>
  <c r="B44" i="3" l="1"/>
  <c r="G44" i="3" s="1"/>
  <c r="G45" i="3"/>
  <c r="G42" i="3"/>
  <c r="G38" i="3"/>
  <c r="G12" i="3" l="1"/>
  <c r="G17" i="3"/>
  <c r="G23" i="3" l="1"/>
  <c r="G22" i="3" l="1"/>
  <c r="G21" i="3" l="1"/>
  <c r="G20" i="3"/>
  <c r="G41" i="3" l="1"/>
  <c r="G47" i="3"/>
  <c r="G13" i="3" l="1"/>
  <c r="G11" i="3"/>
  <c r="G10" i="3"/>
  <c r="G24" i="3" l="1"/>
  <c r="A5" i="3"/>
  <c r="D5" i="3"/>
  <c r="C5" i="3"/>
  <c r="E51" i="1" l="1"/>
  <c r="B51" i="3" s="1"/>
  <c r="G51" i="3" s="1"/>
  <c r="E50" i="1"/>
  <c r="B50" i="3" s="1"/>
  <c r="G50" i="3" s="1"/>
  <c r="G49" i="3" l="1"/>
  <c r="G46" i="3"/>
  <c r="G54" i="3"/>
  <c r="G53" i="3"/>
  <c r="G52" i="3"/>
  <c r="G37" i="3"/>
  <c r="G19" i="3"/>
  <c r="G16" i="3"/>
  <c r="G29" i="3" l="1"/>
  <c r="G15" i="3"/>
  <c r="F2" i="3"/>
  <c r="G36" i="3"/>
  <c r="G26" i="3"/>
  <c r="G31" i="3"/>
  <c r="G35" i="3"/>
  <c r="G39" i="3"/>
  <c r="G30" i="3"/>
  <c r="G34" i="3"/>
  <c r="G18" i="3"/>
  <c r="G27" i="3"/>
  <c r="G40" i="3"/>
  <c r="G28" i="3"/>
  <c r="G14" i="3"/>
  <c r="D58" i="1" l="1"/>
  <c r="G32" i="3"/>
  <c r="G33" i="3"/>
  <c r="G9" i="3"/>
  <c r="G8" i="3" l="1"/>
  <c r="G6" i="3"/>
  <c r="B5" i="3"/>
  <c r="C58" i="1" s="1"/>
  <c r="G5" i="3" l="1"/>
  <c r="D30" i="3" l="1"/>
  <c r="H43" i="1"/>
  <c r="D43" i="3"/>
  <c r="B43" i="3"/>
  <c r="G43" i="3" s="1"/>
  <c r="H1" i="3" s="1"/>
  <c r="G61" i="1" s="1"/>
  <c r="F1" i="3" l="1"/>
  <c r="C57" i="1" s="1"/>
  <c r="I5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Vladimír Chvojka</author>
    <author>Uživatel systému Windows</author>
  </authors>
  <commentList>
    <comment ref="D1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Slouží pro specifikaci průtokoměrů </t>
        </r>
        <r>
          <rPr>
            <b/>
            <sz val="9"/>
            <color indexed="81"/>
            <rFont val="Tahoma"/>
            <family val="2"/>
            <charset val="238"/>
          </rPr>
          <t>SE401x, SE402x</t>
        </r>
        <r>
          <rPr>
            <sz val="9"/>
            <color indexed="81"/>
            <rFont val="Tahoma"/>
            <family val="2"/>
            <charset val="238"/>
          </rPr>
          <t>,</t>
        </r>
        <r>
          <rPr>
            <b/>
            <sz val="9"/>
            <color indexed="81"/>
            <rFont val="Tahoma"/>
            <family val="2"/>
            <charset val="238"/>
          </rPr>
          <t xml:space="preserve"> SE404x </t>
        </r>
        <r>
          <rPr>
            <sz val="9"/>
            <color indexed="81"/>
            <rFont val="Tahoma"/>
            <family val="2"/>
            <charset val="238"/>
          </rPr>
          <t xml:space="preserve">a </t>
        </r>
        <r>
          <rPr>
            <b/>
            <sz val="9"/>
            <color indexed="81"/>
            <rFont val="Tahoma"/>
            <family val="2"/>
            <charset val="238"/>
          </rPr>
          <t>SE406x</t>
        </r>
        <r>
          <rPr>
            <sz val="9"/>
            <color indexed="81"/>
            <rFont val="Tahoma"/>
            <family val="2"/>
            <charset val="238"/>
          </rPr>
          <t xml:space="preserve"> (nikoliv pro </t>
        </r>
        <r>
          <rPr>
            <b/>
            <sz val="9"/>
            <color indexed="81"/>
            <rFont val="Tahoma"/>
            <family val="2"/>
            <charset val="238"/>
          </rPr>
          <t>SE409x</t>
        </r>
        <r>
          <rPr>
            <sz val="9"/>
            <color indexed="81"/>
            <rFont val="Tahoma"/>
            <family val="2"/>
            <charset val="238"/>
          </rPr>
          <t>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8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Dimenze dle EN (ASME, AWWA ...)
~  max. průtok při rychlosti v = 10 m/s 
U přírub AWWA je uvedená dimenze (DN700 a větší) pouze oriantační. Norma AWWA přesné rozměry nedefinuje.</t>
        </r>
      </text>
    </comment>
    <comment ref="D25" authorId="1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Viz manuál str. 26</t>
        </r>
      </text>
    </comment>
    <comment ref="D43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Baud (Bd) je jednotka modulační rychlosti  udávající počet změn stavu přenosového média za 1 sekundu.</t>
        </r>
      </text>
    </comment>
    <comment ref="D44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>Pro MODBUS je neaktivní (nenastavuje se), 
jinak
1. písmeno se týká příjmu dat 
(L = lichá parita, S = sudá parita)</t>
        </r>
      </text>
    </comment>
    <comment ref="C45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Zahrnují kalibrace i úřední ověření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46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>Při kalibraci vždy obdržíte Kalibrační list (protokol).</t>
        </r>
      </text>
    </comment>
    <comment ref="D54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IDO výrobku</t>
        </r>
        <r>
          <rPr>
            <sz val="9"/>
            <color indexed="81"/>
            <rFont val="Tahoma"/>
            <family val="2"/>
            <charset val="238"/>
          </rPr>
          <t xml:space="preserve"> (č. kusovníku vč. provedení) zde zapisuje pověřený zaměstnanec ELIS v případě, že výrobek je uveden v DB IS Helios.</t>
        </r>
      </text>
    </comment>
    <comment ref="C61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 xml:space="preserve">Abyste mohli do tohoto pole zapisovat, </t>
        </r>
        <r>
          <rPr>
            <b/>
            <sz val="9"/>
            <color indexed="81"/>
            <rFont val="Tahoma"/>
            <family val="2"/>
            <charset val="238"/>
          </rPr>
          <t>poklepejte</t>
        </r>
        <r>
          <rPr>
            <sz val="9"/>
            <color indexed="81"/>
            <rFont val="Tahoma"/>
            <family val="2"/>
            <charset val="238"/>
          </rPr>
          <t xml:space="preserve"> v něm myší (2x klepněte - zobrazí se kurzor ...). 
(Nový řádek = </t>
        </r>
        <r>
          <rPr>
            <b/>
            <sz val="9"/>
            <color indexed="81"/>
            <rFont val="Tahoma"/>
            <family val="2"/>
            <charset val="238"/>
          </rPr>
          <t>Alt</t>
        </r>
        <r>
          <rPr>
            <sz val="9"/>
            <color indexed="81"/>
            <rFont val="Tahoma"/>
            <family val="2"/>
            <charset val="238"/>
          </rPr>
          <t>+</t>
        </r>
        <r>
          <rPr>
            <b/>
            <sz val="9"/>
            <color indexed="81"/>
            <rFont val="Tahoma"/>
            <family val="2"/>
            <charset val="238"/>
          </rPr>
          <t>Ente</t>
        </r>
        <r>
          <rPr>
            <sz val="9"/>
            <color indexed="81"/>
            <rFont val="Tahoma"/>
            <family val="2"/>
            <charset val="238"/>
          </rPr>
          <t>r)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Vladimír Chvojka</author>
    <author>Uživatel systému Windows</author>
  </authors>
  <commentList>
    <comment ref="C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Informativní poznámka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Čidlo UC7.0</t>
        </r>
      </text>
    </comment>
    <comment ref="A3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Čidlo UC7.2</t>
        </r>
      </text>
    </comment>
    <comment ref="A4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Čidlo UC3.0</t>
        </r>
      </text>
    </comment>
    <comment ref="A5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Čidlo UC5.0</t>
        </r>
      </text>
    </comment>
    <comment ref="A26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 xml:space="preserve">Poslední dimenze dle ASME
</t>
        </r>
      </text>
    </comment>
    <comment ref="A27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 xml:space="preserve">Standard: Nejmenší dimenze dle AWWA
</t>
        </r>
      </text>
    </comment>
    <comment ref="A83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 xml:space="preserve">Nenabízí se, dosazuje se automaticky.
</t>
        </r>
      </text>
    </comment>
    <comment ref="A133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 xml:space="preserve">Pro doma:
Q max (Q₄) / 36
</t>
        </r>
      </text>
    </comment>
    <comment ref="A14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>Nenabízí se, dosazuje se automaticky.</t>
        </r>
      </text>
    </comment>
    <comment ref="A145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Nenabízí se, dosazuje se automaticky.</t>
        </r>
      </text>
    </comment>
    <comment ref="C185" authorId="1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U provedení COMFORT se řádky displeje do tabulky ručně nezadávají (obdobně jako u ECONOMIC), provádí se aut. standardní nastavení, které si uživatel může změnit klávesnicí.</t>
        </r>
      </text>
    </comment>
    <comment ref="A186" authorId="0" shapeId="0" xr:uid="{00000000-0006-0000-0100-00000D000000}">
      <text>
        <r>
          <rPr>
            <sz val="9"/>
            <color indexed="81"/>
            <rFont val="Tahoma"/>
            <family val="2"/>
            <charset val="238"/>
          </rPr>
          <t>Nenabízí se, dosazuje se automaticky.</t>
        </r>
      </text>
    </comment>
    <comment ref="A187" authorId="0" shapeId="0" xr:uid="{00000000-0006-0000-0100-00000E000000}">
      <text>
        <r>
          <rPr>
            <sz val="9"/>
            <color indexed="81"/>
            <rFont val="Tahoma"/>
            <family val="2"/>
            <charset val="238"/>
          </rPr>
          <t>Nenabízí se, ale dosazuje automaticky.</t>
        </r>
      </text>
    </comment>
    <comment ref="A188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Nenabízí se, ale dosazuje automaticky.</t>
        </r>
      </text>
    </comment>
    <comment ref="A190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Nenabízí se, dosazuje se automaticky.</t>
        </r>
      </text>
    </comment>
    <comment ref="A196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Nenabízí se, dosazuje se automaticky.</t>
        </r>
      </text>
    </comment>
    <comment ref="A204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>Nenabízí se, dosazuje se automaticky.</t>
        </r>
      </text>
    </comment>
    <comment ref="A222" authorId="0" shapeId="0" xr:uid="{00000000-0006-0000-0100-000013000000}">
      <text>
        <r>
          <rPr>
            <sz val="9"/>
            <color indexed="81"/>
            <rFont val="Tahoma"/>
            <family val="2"/>
            <charset val="238"/>
          </rPr>
          <t>Nenabízí se, dosazuje se automaticky.</t>
        </r>
      </text>
    </comment>
    <comment ref="A229" authorId="0" shapeId="0" xr:uid="{00000000-0006-0000-0100-000014000000}">
      <text>
        <r>
          <rPr>
            <sz val="9"/>
            <color indexed="81"/>
            <rFont val="Tahoma"/>
            <family val="2"/>
            <charset val="238"/>
          </rPr>
          <t>Nenabízí se, dosazuje se automaticky.</t>
        </r>
      </text>
    </comment>
    <comment ref="A244" authorId="0" shapeId="0" xr:uid="{00000000-0006-0000-0100-000015000000}">
      <text>
        <r>
          <rPr>
            <sz val="9"/>
            <color indexed="81"/>
            <rFont val="Tahoma"/>
            <family val="2"/>
            <charset val="238"/>
          </rPr>
          <t>Nenabízí se, dosazuje se automaticky.</t>
        </r>
      </text>
    </comment>
    <comment ref="A248" authorId="0" shapeId="0" xr:uid="{00000000-0006-0000-0100-000016000000}">
      <text>
        <r>
          <rPr>
            <sz val="9"/>
            <color indexed="81"/>
            <rFont val="Tahoma"/>
            <family val="2"/>
            <charset val="238"/>
          </rPr>
          <t>Nenabízí se, dosazuje se automaticky.</t>
        </r>
      </text>
    </comment>
    <comment ref="A252" authorId="0" shapeId="0" xr:uid="{00000000-0006-0000-0100-000017000000}">
      <text>
        <r>
          <rPr>
            <sz val="9"/>
            <color indexed="81"/>
            <rFont val="Tahoma"/>
            <family val="2"/>
            <charset val="238"/>
          </rPr>
          <t>Nenabízí se, dosazuje se automaticky.</t>
        </r>
      </text>
    </comment>
    <comment ref="A269" authorId="0" shapeId="0" xr:uid="{00000000-0006-0000-0100-000018000000}">
      <text>
        <r>
          <rPr>
            <sz val="9"/>
            <color indexed="81"/>
            <rFont val="Tahoma"/>
            <family val="2"/>
            <charset val="238"/>
          </rPr>
          <t xml:space="preserve">Nenabízí se, dosazuje se automaticky.
</t>
        </r>
      </text>
    </comment>
    <comment ref="A273" authorId="0" shapeId="0" xr:uid="{00000000-0006-0000-0100-000019000000}">
      <text>
        <r>
          <rPr>
            <sz val="9"/>
            <color indexed="81"/>
            <rFont val="Tahoma"/>
            <family val="2"/>
            <charset val="238"/>
          </rPr>
          <t>Nenabízí se, dosazuje se automaticky.</t>
        </r>
      </text>
    </comment>
    <comment ref="A305" authorId="0" shapeId="0" xr:uid="{00000000-0006-0000-0100-00001A000000}">
      <text>
        <r>
          <rPr>
            <sz val="9"/>
            <color indexed="81"/>
            <rFont val="Tahoma"/>
            <family val="2"/>
            <charset val="238"/>
          </rPr>
          <t>Nenabízí se, dosazuje se automaticky.</t>
        </r>
      </text>
    </comment>
    <comment ref="A306" authorId="0" shapeId="0" xr:uid="{00000000-0006-0000-0100-00001B000000}">
      <text>
        <r>
          <rPr>
            <sz val="9"/>
            <color indexed="81"/>
            <rFont val="Tahoma"/>
            <family val="2"/>
            <charset val="238"/>
          </rPr>
          <t>Nenabízí se, dosazuje se automaticky.</t>
        </r>
      </text>
    </comment>
    <comment ref="A307" authorId="0" shapeId="0" xr:uid="{00000000-0006-0000-0100-00001C000000}">
      <text>
        <r>
          <rPr>
            <sz val="9"/>
            <color indexed="81"/>
            <rFont val="Tahoma"/>
            <family val="2"/>
            <charset val="238"/>
          </rPr>
          <t>Nenabízí se, dosazuje se automaticky.</t>
        </r>
      </text>
    </comment>
    <comment ref="A308" authorId="0" shapeId="0" xr:uid="{00000000-0006-0000-0100-00001D000000}">
      <text>
        <r>
          <rPr>
            <sz val="9"/>
            <color indexed="81"/>
            <rFont val="Tahoma"/>
            <family val="2"/>
            <charset val="238"/>
          </rPr>
          <t>Nenabízí se, dosazuje se automaticky.</t>
        </r>
      </text>
    </comment>
    <comment ref="A309" authorId="0" shapeId="0" xr:uid="{00000000-0006-0000-0100-00001E000000}">
      <text>
        <r>
          <rPr>
            <sz val="9"/>
            <color indexed="81"/>
            <rFont val="Tahoma"/>
            <family val="2"/>
            <charset val="238"/>
          </rPr>
          <t>Nenabízí se, dosazuje se automaticky.</t>
        </r>
      </text>
    </comment>
    <comment ref="A310" authorId="0" shapeId="0" xr:uid="{00000000-0006-0000-0100-00001F000000}">
      <text>
        <r>
          <rPr>
            <sz val="9"/>
            <color indexed="81"/>
            <rFont val="Tahoma"/>
            <family val="2"/>
            <charset val="238"/>
          </rPr>
          <t>Nenabízí se, dosazuje se automaticky.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Vladimír Chvojka</author>
  </authors>
  <commentList>
    <comment ref="C4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 xml:space="preserve">Zde vložte obj. číslo, které chcete dekódovat. Nejvhodnější vložení je kopírováním, ale vždy jej proveďte funkcí </t>
        </r>
        <r>
          <rPr>
            <b/>
            <sz val="9"/>
            <color indexed="81"/>
            <rFont val="Tahoma"/>
            <family val="2"/>
            <charset val="238"/>
          </rPr>
          <t>Vložit hodnoty</t>
        </r>
        <r>
          <rPr>
            <sz val="9"/>
            <color indexed="81"/>
            <rFont val="Tahoma"/>
            <family val="2"/>
            <charset val="238"/>
          </rPr>
          <t xml:space="preserve">!
</t>
        </r>
      </text>
    </comment>
    <comment ref="C58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 xml:space="preserve">Abyste mohli do tohoto pole zapisovat, </t>
        </r>
        <r>
          <rPr>
            <b/>
            <sz val="9"/>
            <color indexed="81"/>
            <rFont val="Tahoma"/>
            <family val="2"/>
            <charset val="238"/>
          </rPr>
          <t>poklepejte</t>
        </r>
        <r>
          <rPr>
            <sz val="9"/>
            <color indexed="81"/>
            <rFont val="Tahoma"/>
            <family val="2"/>
            <charset val="238"/>
          </rPr>
          <t xml:space="preserve"> v něm myší (2x klepněte - zobrazí se kurzor ...). 
(Nový řádek = </t>
        </r>
        <r>
          <rPr>
            <b/>
            <sz val="9"/>
            <color indexed="81"/>
            <rFont val="Tahoma"/>
            <family val="2"/>
            <charset val="238"/>
          </rPr>
          <t>Alt</t>
        </r>
        <r>
          <rPr>
            <sz val="9"/>
            <color indexed="81"/>
            <rFont val="Tahoma"/>
            <family val="2"/>
            <charset val="238"/>
          </rPr>
          <t>+</t>
        </r>
        <r>
          <rPr>
            <b/>
            <sz val="9"/>
            <color indexed="81"/>
            <rFont val="Tahoma"/>
            <family val="2"/>
            <charset val="238"/>
          </rPr>
          <t>Ente</t>
        </r>
        <r>
          <rPr>
            <sz val="9"/>
            <color indexed="81"/>
            <rFont val="Tahoma"/>
            <family val="2"/>
            <charset val="238"/>
          </rPr>
          <t>r)</t>
        </r>
      </text>
    </comment>
  </commentList>
</comments>
</file>

<file path=xl/sharedStrings.xml><?xml version="1.0" encoding="utf-8"?>
<sst xmlns="http://schemas.openxmlformats.org/spreadsheetml/2006/main" count="689" uniqueCount="381">
  <si>
    <t>-</t>
  </si>
  <si>
    <t>Provedení měřicího čidla</t>
  </si>
  <si>
    <t>TECHNICKÉ PARAMETRY</t>
  </si>
  <si>
    <t>ČSN EN 1092-1</t>
  </si>
  <si>
    <t>JIS B2210</t>
  </si>
  <si>
    <t>TYPOVÉ ZAŘAZENÍ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</si>
  <si>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</si>
  <si>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</si>
  <si>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</si>
  <si>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</si>
  <si>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</si>
  <si>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</si>
  <si>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</si>
  <si>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</si>
  <si>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</si>
  <si>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</si>
  <si>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</si>
  <si>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</si>
  <si>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</si>
  <si>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</si>
  <si>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</si>
  <si>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</si>
  <si>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Nestandardní</t>
  </si>
  <si>
    <t>Kód OČ</t>
  </si>
  <si>
    <t>Objednací číslo</t>
  </si>
  <si>
    <t>Příruby čidla</t>
  </si>
  <si>
    <t>Vybavení a provedení průtokoměru</t>
  </si>
  <si>
    <t>Materiál a povrchová úprava čidla</t>
  </si>
  <si>
    <t>Celonerezové 1.4301</t>
  </si>
  <si>
    <t>Pol.</t>
  </si>
  <si>
    <t>Jmenovitý tlak</t>
  </si>
  <si>
    <t>0</t>
  </si>
  <si>
    <t>Napájení</t>
  </si>
  <si>
    <t>Tabulka slouží jako příloha k poptávce nebo k objednávce a pro výrobu.</t>
  </si>
  <si>
    <t>NASTAVENÍ PRŮTOKOMĚRU</t>
  </si>
  <si>
    <t>Druh měření</t>
  </si>
  <si>
    <t>1</t>
  </si>
  <si>
    <t>2</t>
  </si>
  <si>
    <t>Necitlivost měření</t>
  </si>
  <si>
    <t>3</t>
  </si>
  <si>
    <t>4</t>
  </si>
  <si>
    <t>5</t>
  </si>
  <si>
    <t>6</t>
  </si>
  <si>
    <t>l/s</t>
  </si>
  <si>
    <t>l/min</t>
  </si>
  <si>
    <t>Rozhraní</t>
  </si>
  <si>
    <t>Parita</t>
  </si>
  <si>
    <t>Bez parity</t>
  </si>
  <si>
    <t>Zobrazovací jazyk</t>
  </si>
  <si>
    <t>Rychlost přenosu</t>
  </si>
  <si>
    <t>DALŠÍ OBCHODNÍ POŽADAVKY</t>
  </si>
  <si>
    <t>Balení</t>
  </si>
  <si>
    <t>Způsob předání</t>
  </si>
  <si>
    <t>Záruka</t>
  </si>
  <si>
    <t>6 měsíců</t>
  </si>
  <si>
    <t>18 měsíců</t>
  </si>
  <si>
    <t>36 měsíců</t>
  </si>
  <si>
    <t>Nebaleno</t>
  </si>
  <si>
    <t>Standardní</t>
  </si>
  <si>
    <t>Osobní odběr</t>
  </si>
  <si>
    <t>Spediční službou na náklady dodavatele</t>
  </si>
  <si>
    <t>Spediční službou na náklady odběratele</t>
  </si>
  <si>
    <t xml:space="preserve"> - </t>
  </si>
  <si>
    <t>NASTAVENÍ KOMUNIKACE</t>
  </si>
  <si>
    <t>SOUVISÍCÍ PŘEDPISY</t>
  </si>
  <si>
    <t xml:space="preserve">Počet nezadaných hodnot: </t>
  </si>
  <si>
    <t>Nestandardní parametry</t>
  </si>
  <si>
    <t>Dne</t>
  </si>
  <si>
    <t>Při případném kopírování vlevo uvedeného Objednacího čísla</t>
  </si>
  <si>
    <t>HW část:</t>
  </si>
  <si>
    <t xml:space="preserve">Nestandardní parametry - souhrn: </t>
  </si>
  <si>
    <t>10 m</t>
  </si>
  <si>
    <t>15 m</t>
  </si>
  <si>
    <t>20 m</t>
  </si>
  <si>
    <t>30 m</t>
  </si>
  <si>
    <t>40 m</t>
  </si>
  <si>
    <t>50 m</t>
  </si>
  <si>
    <t>50 °C</t>
  </si>
  <si>
    <t>130 °C</t>
  </si>
  <si>
    <t>90 °C</t>
  </si>
  <si>
    <t>150 °C</t>
  </si>
  <si>
    <t>RS485</t>
  </si>
  <si>
    <t>Komunikace není požadována</t>
  </si>
  <si>
    <t>PN 6</t>
  </si>
  <si>
    <t>PN 10</t>
  </si>
  <si>
    <t>PED není požadováno</t>
  </si>
  <si>
    <t>Kapaliny skupiny 1 definované v čl. 4 odd. 1. C) ii) PED</t>
  </si>
  <si>
    <t>Kapaliny skupiny 2 definované v čl. 4 odd. 1. C) ii) PED</t>
  </si>
  <si>
    <t>Plyny skupiny 1 definované v čl. 4 odd. 1. C) i) PED</t>
  </si>
  <si>
    <t>Plyny skupiny 2 definované v čl. 4 odd. 1. C) i) PED</t>
  </si>
  <si>
    <t>Druh tekutiny dle PED 2014/68/EU</t>
  </si>
  <si>
    <t>Kategorie dle PED 2014/68/EU</t>
  </si>
  <si>
    <t>Délka kabelů</t>
  </si>
  <si>
    <t>SEP (PED 0)</t>
  </si>
  <si>
    <t>PED I</t>
  </si>
  <si>
    <t>PED II</t>
  </si>
  <si>
    <t>PED III</t>
  </si>
  <si>
    <t>Adresa - zapište z rozsahu 1 až 255</t>
  </si>
  <si>
    <t>Skupina - zapište z rozsahu 1 až 255</t>
  </si>
  <si>
    <t>Evidenční číslo manuálu průtokoměru</t>
  </si>
  <si>
    <t>Doporučená hodnota</t>
  </si>
  <si>
    <r>
      <t>Jedná se o tyto parametry</t>
    </r>
    <r>
      <rPr>
        <sz val="12"/>
        <color theme="1"/>
        <rFont val="Calibri"/>
        <family val="2"/>
        <charset val="238"/>
        <scheme val="minor"/>
      </rPr>
      <t xml:space="preserve"> (čís. položky - název)</t>
    </r>
    <r>
      <rPr>
        <b/>
        <sz val="12"/>
        <color theme="1"/>
        <rFont val="Calibri"/>
        <family val="2"/>
        <charset val="238"/>
        <scheme val="minor"/>
      </rPr>
      <t>:</t>
    </r>
  </si>
  <si>
    <r>
      <t>použijte funkci "</t>
    </r>
    <r>
      <rPr>
        <b/>
        <sz val="10"/>
        <color rgb="FF0033CC"/>
        <rFont val="Calibri"/>
        <family val="2"/>
        <charset val="238"/>
        <scheme val="minor"/>
      </rPr>
      <t>Vložit hodnoty</t>
    </r>
    <r>
      <rPr>
        <sz val="10"/>
        <color rgb="FF0033CC"/>
        <rFont val="Calibri"/>
        <family val="2"/>
        <charset val="238"/>
        <scheme val="minor"/>
      </rPr>
      <t>"!</t>
    </r>
  </si>
  <si>
    <t>Impulzní číslo</t>
  </si>
  <si>
    <t>Firma</t>
  </si>
  <si>
    <t>Číslo položky v poptávce/objednávce</t>
  </si>
  <si>
    <t>Vystavil - jméno a příjmení</t>
  </si>
  <si>
    <t>Počet kusů</t>
  </si>
  <si>
    <r>
      <t>Maximální provozní teplota média (TS</t>
    </r>
    <r>
      <rPr>
        <vertAlign val="subscript"/>
        <sz val="11"/>
        <color theme="1"/>
        <rFont val="Calibri"/>
        <family val="2"/>
        <charset val="238"/>
        <scheme val="minor"/>
      </rPr>
      <t>max</t>
    </r>
    <r>
      <rPr>
        <sz val="11"/>
        <color theme="1"/>
        <rFont val="Calibri"/>
        <family val="2"/>
        <charset val="238"/>
        <scheme val="minor"/>
      </rPr>
      <t>)</t>
    </r>
  </si>
  <si>
    <t>00</t>
  </si>
  <si>
    <t>Pozice</t>
  </si>
  <si>
    <t>Kód</t>
  </si>
  <si>
    <t>Název</t>
  </si>
  <si>
    <t>Hodnota</t>
  </si>
  <si>
    <t>Výše uvedené parametry definující konstrukci výrobku.</t>
  </si>
  <si>
    <t>110 °C</t>
  </si>
  <si>
    <t>IDO výrobku (zadává ELIS)</t>
  </si>
  <si>
    <t>Poznámky k výrobku, obchodnímu případu či nestandardním parametrům</t>
  </si>
  <si>
    <t>Dekódoval - jméno</t>
  </si>
  <si>
    <t>Dne:</t>
  </si>
  <si>
    <t>Dekódovací tabulka objednacího čísla indukčního průtokoměru FLONET FN20xx.1</t>
  </si>
  <si>
    <t>Referent ELIS</t>
  </si>
  <si>
    <t>Číslo poptávky/objednávky zákazníka</t>
  </si>
  <si>
    <t>BS 4504</t>
  </si>
  <si>
    <t>180 °C</t>
  </si>
  <si>
    <t>70 m</t>
  </si>
  <si>
    <t>80 m</t>
  </si>
  <si>
    <t>90 m</t>
  </si>
  <si>
    <t xml:space="preserve">100 m </t>
  </si>
  <si>
    <t>60 m</t>
  </si>
  <si>
    <t>Jednosměrné hmotnostní</t>
  </si>
  <si>
    <t>Obousměrné objemové</t>
  </si>
  <si>
    <t>Obousměrné hmotnostní</t>
  </si>
  <si>
    <t>Specifikační tabulka ultrazvukového průtokoměru SONOELIS SE40xx</t>
  </si>
  <si>
    <t>l/h</t>
  </si>
  <si>
    <t>bbl/h</t>
  </si>
  <si>
    <t>bbl/min</t>
  </si>
  <si>
    <t>bbl/s</t>
  </si>
  <si>
    <t>gal/h</t>
  </si>
  <si>
    <t>gal/min</t>
  </si>
  <si>
    <t>gal/s</t>
  </si>
  <si>
    <t>l</t>
  </si>
  <si>
    <t>Voda</t>
  </si>
  <si>
    <t>Směr proudění ve směru sepne</t>
  </si>
  <si>
    <t>Směr proudění ve směru rozepne</t>
  </si>
  <si>
    <t>Mez objemového průtoku při překročení sepne</t>
  </si>
  <si>
    <t>Mez objemového průtoku při překročení rozepne</t>
  </si>
  <si>
    <t>Mez hmotnostního průtoku při překročení sepne</t>
  </si>
  <si>
    <t>Mez hmotnostního průtoku při překročení rozepne</t>
  </si>
  <si>
    <t>Mez objemu při překročení sepne</t>
  </si>
  <si>
    <t>Mez objemu při překročení rozepne</t>
  </si>
  <si>
    <t>Mez hmotnosti při překročení sepne</t>
  </si>
  <si>
    <t>Mez hmotnosti při překročení rozepne</t>
  </si>
  <si>
    <t>Mez teploty při překročení sepne</t>
  </si>
  <si>
    <t>Mez teploty při překročení rozepne</t>
  </si>
  <si>
    <t>Nezaplněné potrubí, při poruše sepne</t>
  </si>
  <si>
    <t>Nezaplněné potrubí, při poruše rozepne</t>
  </si>
  <si>
    <t>Objemový průtok</t>
  </si>
  <si>
    <t>Hmotnostní průtok</t>
  </si>
  <si>
    <t>Objem</t>
  </si>
  <si>
    <t>Hmotnost</t>
  </si>
  <si>
    <t>Objem + hmotnost</t>
  </si>
  <si>
    <t>Hmotnost + teplota</t>
  </si>
  <si>
    <t>Žádná - objem se nezobrazuje</t>
  </si>
  <si>
    <t>m³/min</t>
  </si>
  <si>
    <t>m³/s</t>
  </si>
  <si>
    <r>
      <t>ft³</t>
    </r>
    <r>
      <rPr>
        <sz val="10"/>
        <color indexed="8"/>
        <rFont val="Arial"/>
        <family val="2"/>
        <charset val="238"/>
      </rPr>
      <t>/h</t>
    </r>
  </si>
  <si>
    <t>ft³/min</t>
  </si>
  <si>
    <t>ft³/s</t>
  </si>
  <si>
    <t>t/min</t>
  </si>
  <si>
    <t>t/s</t>
  </si>
  <si>
    <t>kg/h</t>
  </si>
  <si>
    <t>kg/min</t>
  </si>
  <si>
    <t>kg/s</t>
  </si>
  <si>
    <t>ton/h</t>
  </si>
  <si>
    <t>ton/min</t>
  </si>
  <si>
    <t>ton/s</t>
  </si>
  <si>
    <t>lb/h</t>
  </si>
  <si>
    <t>lb/min</t>
  </si>
  <si>
    <t>lb/s</t>
  </si>
  <si>
    <t>kg</t>
  </si>
  <si>
    <t>°C</t>
  </si>
  <si>
    <t>°F</t>
  </si>
  <si>
    <t>m/s</t>
  </si>
  <si>
    <t>ft/s</t>
  </si>
  <si>
    <t>Žádná - hmotnost se nezobrazuje</t>
  </si>
  <si>
    <t>Čeština</t>
  </si>
  <si>
    <t>Angličtina</t>
  </si>
  <si>
    <t>Němčina</t>
  </si>
  <si>
    <t>Španělština</t>
  </si>
  <si>
    <t>Italština</t>
  </si>
  <si>
    <t>Francoužština</t>
  </si>
  <si>
    <t>SS  (sudá-sudá)</t>
  </si>
  <si>
    <t>LS  (lichá-sudá)</t>
  </si>
  <si>
    <t>LL  (lichá-lichá)</t>
  </si>
  <si>
    <t>17</t>
  </si>
  <si>
    <t>18</t>
  </si>
  <si>
    <t>19</t>
  </si>
  <si>
    <t>20</t>
  </si>
  <si>
    <t>Dvoupaprskové DN200 ÷ DN1200</t>
  </si>
  <si>
    <t>Jednopaprskové oplášťované DN32 ÷ DN300</t>
  </si>
  <si>
    <t>Ropa</t>
  </si>
  <si>
    <t>Nafta</t>
  </si>
  <si>
    <t>Kaprolaktam</t>
  </si>
  <si>
    <t>Toluen</t>
  </si>
  <si>
    <t>Fenol</t>
  </si>
  <si>
    <t>Formaldehyd</t>
  </si>
  <si>
    <t>Zkapalněný čpavek</t>
  </si>
  <si>
    <t>Kakaové máslo</t>
  </si>
  <si>
    <t>Hnědouhelný generátorový dehet</t>
  </si>
  <si>
    <t>Řepkový tuk</t>
  </si>
  <si>
    <r>
      <t>Tranformátorový olej</t>
    </r>
    <r>
      <rPr>
        <sz val="10"/>
        <color theme="1"/>
        <rFont val="Calibri"/>
        <family val="2"/>
        <charset val="238"/>
        <scheme val="minor"/>
      </rPr>
      <t xml:space="preserve"> ITO 100, ITO 200, TECHNO 2000, TECHNO 3000</t>
    </r>
  </si>
  <si>
    <t>Mazut</t>
  </si>
  <si>
    <t>Líh</t>
  </si>
  <si>
    <t>PN 25</t>
  </si>
  <si>
    <t>Uhlíková ocel (trubka i příruba)
Vnější nátěr: Polyuretan</t>
  </si>
  <si>
    <t>Trubka: Nerez 1.4301
Plášť a příruba: Uhlíková ocel
Vnější nátěr: Polyuretan</t>
  </si>
  <si>
    <t>24 V DC</t>
  </si>
  <si>
    <t>Ne - není požadován</t>
  </si>
  <si>
    <t>METROLOGICKÉ POŽADAVKY</t>
  </si>
  <si>
    <t>Bez displeje</t>
  </si>
  <si>
    <t>Žádná - průtokoměr nemá teploměr</t>
  </si>
  <si>
    <t>0 (bez komunikace)</t>
  </si>
  <si>
    <t>Ne</t>
  </si>
  <si>
    <t>Neobsahuje pevné částice ani bubliny</t>
  </si>
  <si>
    <t>Obsahuje pevné částice nebo bubliny</t>
  </si>
  <si>
    <t>Trubka a příruby: Nerez 1.4301
Plášť: Uhlíková ocel
Vnější nátěr: Polyuretan</t>
  </si>
  <si>
    <t>Ano</t>
  </si>
  <si>
    <t>Hliníková (krytí IP 66)</t>
  </si>
  <si>
    <t>Standardní Q nec/q nec</t>
  </si>
  <si>
    <t>Krytí čidla se sondami</t>
  </si>
  <si>
    <t>Nadstandardní IP68</t>
  </si>
  <si>
    <t>0,01</t>
  </si>
  <si>
    <t>0,1</t>
  </si>
  <si>
    <t>100</t>
  </si>
  <si>
    <t>50</t>
  </si>
  <si>
    <t>200</t>
  </si>
  <si>
    <t>300</t>
  </si>
  <si>
    <t>Ne - impulzní výstup není požadován</t>
  </si>
  <si>
    <t>Žádná - impulzní výstup není požadován</t>
  </si>
  <si>
    <t>Standardní (nastavena výrobcem)</t>
  </si>
  <si>
    <r>
      <t>m</t>
    </r>
    <r>
      <rPr>
        <sz val="11"/>
        <color theme="1"/>
        <rFont val="Calibri"/>
        <family val="2"/>
        <charset val="238"/>
      </rPr>
      <t>³</t>
    </r>
    <r>
      <rPr>
        <sz val="11"/>
        <color theme="1"/>
        <rFont val="Calibri"/>
        <family val="2"/>
        <charset val="238"/>
        <scheme val="minor"/>
      </rPr>
      <t>/imp</t>
    </r>
  </si>
  <si>
    <t>kg/imp</t>
  </si>
  <si>
    <t>t/imp</t>
  </si>
  <si>
    <t>7</t>
  </si>
  <si>
    <t>8</t>
  </si>
  <si>
    <t>9</t>
  </si>
  <si>
    <t>Žádná - hmotnostní průtok se nezobrazuje</t>
  </si>
  <si>
    <t>Žádná - objemový průtok se nezobrazuje</t>
  </si>
  <si>
    <t>bbl/imp    (bbl = US barrel)</t>
  </si>
  <si>
    <t>gal/imp    (gal = US liquid gallon)</t>
  </si>
  <si>
    <t>ton/imp    (ton = US ton)</t>
  </si>
  <si>
    <t>lb/imp       (lb = libra)</t>
  </si>
  <si>
    <t>bbl    (US barrel)</t>
  </si>
  <si>
    <t>gal    (US liquid gallon)</t>
  </si>
  <si>
    <r>
      <t xml:space="preserve">ft³     </t>
    </r>
    <r>
      <rPr>
        <sz val="11"/>
        <color rgb="FF000000"/>
        <rFont val="Calibri"/>
        <family val="2"/>
        <charset val="238"/>
        <scheme val="minor"/>
      </rPr>
      <t>(cubic feet)</t>
    </r>
  </si>
  <si>
    <t>Standardní impulzní výstup (nastaven výrobcem)</t>
  </si>
  <si>
    <t>Možnost vzniku podtlaku</t>
  </si>
  <si>
    <t>Skříňka vyhodnocovací elektroniky</t>
  </si>
  <si>
    <t>Skryto - zatím nepoužívat!</t>
  </si>
  <si>
    <t>Měřená tekutina</t>
  </si>
  <si>
    <t>Upřesnění měřené tekutiny</t>
  </si>
  <si>
    <t>Frekvenční výstup</t>
  </si>
  <si>
    <t>Proudový výstup</t>
  </si>
  <si>
    <t>xx</t>
  </si>
  <si>
    <t>x</t>
  </si>
  <si>
    <t>Binární výstup</t>
  </si>
  <si>
    <t>Displej - 1. řádek</t>
  </si>
  <si>
    <t>Displej - 2. řádek</t>
  </si>
  <si>
    <t>Jiná (nestandardní)</t>
  </si>
  <si>
    <t>Jednotka objemu</t>
  </si>
  <si>
    <t>Jednotka objemového průtoku</t>
  </si>
  <si>
    <t>Jednotka hmotnosti</t>
  </si>
  <si>
    <t>Jednotka hmotnostního průtoku</t>
  </si>
  <si>
    <t>Jednotka teploty</t>
  </si>
  <si>
    <t>Jednotka rychlosti</t>
  </si>
  <si>
    <t>Bez metrologického požadavku</t>
  </si>
  <si>
    <t>Metrologický požadavek</t>
  </si>
  <si>
    <t>Maximální provozní teplota média</t>
  </si>
  <si>
    <t>Jednotka impulzního čísla</t>
  </si>
  <si>
    <t>Adresa</t>
  </si>
  <si>
    <t>Skupina</t>
  </si>
  <si>
    <t xml:space="preserve">Evidenční číslo manuálu průtokoměru </t>
  </si>
  <si>
    <t>UC3</t>
  </si>
  <si>
    <t>UC5</t>
  </si>
  <si>
    <t>Typ čidla</t>
  </si>
  <si>
    <t>SE40</t>
  </si>
  <si>
    <t>Dimenze čidla  ~  trvalý průtok Q₃</t>
  </si>
  <si>
    <t>Maximální provozní teplota média (TSmax)</t>
  </si>
  <si>
    <r>
      <t xml:space="preserve"> Kompletní objednací číslo nebo jeho nepřerušená počáteční část   </t>
    </r>
    <r>
      <rPr>
        <sz val="11"/>
        <color rgb="FF0033CC"/>
        <rFont val="Calibri"/>
        <family val="2"/>
        <charset val="238"/>
        <scheme val="minor"/>
      </rPr>
      <t>("Vložit hodnoty" do buňky C4)</t>
    </r>
  </si>
  <si>
    <r>
      <t xml:space="preserve">Chybové hlášení </t>
    </r>
    <r>
      <rPr>
        <sz val="10"/>
        <rFont val="Calibri"/>
        <family val="2"/>
        <charset val="238"/>
        <scheme val="minor"/>
      </rPr>
      <t>/ poznámka</t>
    </r>
  </si>
  <si>
    <t>Úřední ověření dle EN 1434 bez Potvrzení o ověření</t>
  </si>
  <si>
    <t>Úřední ověření dle EN 1434 
+ Potvrzení o metrologickém ověření</t>
  </si>
  <si>
    <t>Nestandardní metrologický požadavek</t>
  </si>
  <si>
    <t>Standardní kalibrace dle EN ISO 4064-1, tř. přesnosti 2</t>
  </si>
  <si>
    <r>
      <t>Dimenze čidla  ~  Q</t>
    </r>
    <r>
      <rPr>
        <b/>
        <vertAlign val="subscript"/>
        <sz val="11"/>
        <color theme="1"/>
        <rFont val="Calibri"/>
        <family val="2"/>
        <charset val="238"/>
      </rPr>
      <t>₄</t>
    </r>
  </si>
  <si>
    <t>DN32 ~ 20 m³/h</t>
  </si>
  <si>
    <t>DN40 ~ 32 m³/h</t>
  </si>
  <si>
    <t>DN50 ~ 50 m³/h</t>
  </si>
  <si>
    <t>DN65 ~ 80 m³/h</t>
  </si>
  <si>
    <t>DN80 ~ 150 m³/h</t>
  </si>
  <si>
    <t>DN100 ~ 240 m³/h</t>
  </si>
  <si>
    <t>DN125 ~ 350 m³/h</t>
  </si>
  <si>
    <t>DN150 ~ 500 m³/h</t>
  </si>
  <si>
    <t>DN350 ~ 1 800 m³/h</t>
  </si>
  <si>
    <t>DN400 ~ 2 000 m³/h</t>
  </si>
  <si>
    <t>DN450 ~ 2 300 m³/h</t>
  </si>
  <si>
    <t>DN500 ~ 2 500 m³/h</t>
  </si>
  <si>
    <t>DN600 ~ 3 000 m³/h</t>
  </si>
  <si>
    <t>DN700 ~ 3 600 m³/h</t>
  </si>
  <si>
    <t>DN800 ~ 4 100 m³/h</t>
  </si>
  <si>
    <t>DN1000 ~ 5 100 m³/h</t>
  </si>
  <si>
    <t>DN1200 ~ 6 100 m³/h</t>
  </si>
  <si>
    <t>Plastová (krytí IP 65)</t>
  </si>
  <si>
    <r>
      <t xml:space="preserve">Postupně odshora vyplňte všechna bílá pole ve sloupci </t>
    </r>
    <r>
      <rPr>
        <b/>
        <sz val="11"/>
        <color rgb="FF0033CC"/>
        <rFont val="Calibri"/>
        <family val="2"/>
        <charset val="238"/>
        <scheme val="minor"/>
      </rPr>
      <t>D</t>
    </r>
    <r>
      <rPr>
        <sz val="11"/>
        <color rgb="FF0033CC"/>
        <rFont val="Calibri"/>
        <family val="2"/>
        <charset val="238"/>
        <scheme val="minor"/>
      </rPr>
      <t xml:space="preserve"> (předdefinované hodnoty zobrazíte klepnutím na:</t>
    </r>
  </si>
  <si>
    <t>Ruština</t>
  </si>
  <si>
    <r>
      <t>0 ÷ Q</t>
    </r>
    <r>
      <rPr>
        <sz val="11"/>
        <color theme="1"/>
        <rFont val="Calibri"/>
        <family val="2"/>
        <charset val="238"/>
      </rPr>
      <t>₄ (q</t>
    </r>
    <r>
      <rPr>
        <sz val="11"/>
        <color theme="1"/>
        <rFont val="Calibri"/>
        <family val="2"/>
        <charset val="238"/>
        <scheme val="minor"/>
      </rPr>
      <t>s</t>
    </r>
    <r>
      <rPr>
        <sz val="11"/>
        <color theme="1"/>
        <rFont val="Calibri"/>
        <family val="2"/>
        <charset val="238"/>
      </rPr>
      <t>)</t>
    </r>
    <r>
      <rPr>
        <sz val="10"/>
        <color indexed="8"/>
        <rFont val="Arial"/>
        <family val="2"/>
        <charset val="238"/>
      </rPr>
      <t xml:space="preserve"> ~  0 ÷ 500 Hz</t>
    </r>
  </si>
  <si>
    <r>
      <t>0 ÷ Q₄ (qs)</t>
    </r>
    <r>
      <rPr>
        <vertAlign val="subscript"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 xml:space="preserve"> ~  0 ÷ 5 kHz</t>
    </r>
  </si>
  <si>
    <r>
      <t>0 ÷ Q₄ (qs)</t>
    </r>
    <r>
      <rPr>
        <vertAlign val="subscript"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 xml:space="preserve"> ~  0 ÷ 10 kHz</t>
    </r>
  </si>
  <si>
    <r>
      <t>0 ÷ Q₄ (qs)</t>
    </r>
    <r>
      <rPr>
        <vertAlign val="subscript"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 xml:space="preserve"> ~  0 ÷ 20 mA</t>
    </r>
  </si>
  <si>
    <t>110 V AC (95 ÷ 132 V), 50 Hz ÷ 60 Hz</t>
  </si>
  <si>
    <t>230 V AC (184 ÷ 250 V), 50 Hz ÷ 60 Hz</t>
  </si>
  <si>
    <r>
      <rPr>
        <sz val="11"/>
        <rFont val="Calibri"/>
        <family val="2"/>
        <charset val="238"/>
        <scheme val="minor"/>
      </rPr>
      <t>Dimenze čidla  ~  maximální průtok Q</t>
    </r>
    <r>
      <rPr>
        <sz val="11"/>
        <rFont val="Calibri"/>
        <family val="2"/>
        <charset val="238"/>
      </rPr>
      <t>₄</t>
    </r>
    <r>
      <rPr>
        <sz val="10.45"/>
        <rFont val="Calibri"/>
        <family val="2"/>
        <charset val="238"/>
      </rPr>
      <t xml:space="preserve"> (q</t>
    </r>
    <r>
      <rPr>
        <vertAlign val="subscript"/>
        <sz val="9.9499999999999993"/>
        <rFont val="Calibri"/>
        <family val="2"/>
        <charset val="238"/>
      </rPr>
      <t>s</t>
    </r>
    <r>
      <rPr>
        <sz val="9.9499999999999993"/>
        <rFont val="Calibri"/>
        <family val="2"/>
        <charset val="238"/>
      </rPr>
      <t>)</t>
    </r>
  </si>
  <si>
    <t>RS485/MODBUS RTU</t>
  </si>
  <si>
    <r>
      <rPr>
        <sz val="11"/>
        <rFont val="Calibri"/>
        <family val="2"/>
        <charset val="238"/>
        <scheme val="minor"/>
      </rPr>
      <t>ft³</t>
    </r>
    <r>
      <rPr>
        <sz val="10"/>
        <rFont val="Arial"/>
        <family val="2"/>
        <charset val="238"/>
      </rPr>
      <t>/imp</t>
    </r>
    <r>
      <rPr>
        <sz val="11"/>
        <rFont val="Calibri"/>
        <family val="2"/>
        <charset val="238"/>
        <scheme val="minor"/>
      </rPr>
      <t xml:space="preserve">       (ft³ = cubic feet)</t>
    </r>
  </si>
  <si>
    <r>
      <t xml:space="preserve">Jednopaprskové DN200 </t>
    </r>
    <r>
      <rPr>
        <sz val="11"/>
        <rFont val="Calibri"/>
        <family val="2"/>
        <charset val="238"/>
      </rPr>
      <t>÷ DN1200</t>
    </r>
  </si>
  <si>
    <r>
      <t xml:space="preserve">Dvoupaprskové oplášťované DN40 </t>
    </r>
    <r>
      <rPr>
        <sz val="11"/>
        <rFont val="Calibri"/>
        <family val="2"/>
        <charset val="238"/>
      </rPr>
      <t>÷ DN300</t>
    </r>
  </si>
  <si>
    <r>
      <rPr>
        <b/>
        <sz val="10"/>
        <rFont val="Calibri"/>
        <family val="2"/>
        <charset val="238"/>
        <scheme val="minor"/>
      </rPr>
      <t>UC7</t>
    </r>
    <r>
      <rPr>
        <sz val="9"/>
        <rFont val="Calibri"/>
        <family val="2"/>
        <charset val="238"/>
        <scheme val="minor"/>
      </rPr>
      <t>.0</t>
    </r>
  </si>
  <si>
    <r>
      <rPr>
        <b/>
        <sz val="10"/>
        <rFont val="Calibri"/>
        <family val="2"/>
        <charset val="238"/>
        <scheme val="minor"/>
      </rPr>
      <t>UC7</t>
    </r>
    <r>
      <rPr>
        <sz val="9"/>
        <rFont val="Calibri"/>
        <family val="2"/>
        <charset val="238"/>
        <scheme val="minor"/>
      </rPr>
      <t>.2</t>
    </r>
  </si>
  <si>
    <t>50% Q1/qi</t>
  </si>
  <si>
    <r>
      <t>± 0,3 % Q</t>
    </r>
    <r>
      <rPr>
        <sz val="11"/>
        <rFont val="Calibri"/>
        <family val="2"/>
        <charset val="238"/>
      </rPr>
      <t>₃/q jmenovitý</t>
    </r>
  </si>
  <si>
    <t>4 800 Bd (RS485)</t>
  </si>
  <si>
    <t xml:space="preserve">    )</t>
  </si>
  <si>
    <t>9 600 Bd (RS485/MODBUS RTU)</t>
  </si>
  <si>
    <t>Žádná (bez komunikace nebo MODBUS)</t>
  </si>
  <si>
    <t>Není nabízena z tohoto listu</t>
  </si>
  <si>
    <t>Není nabízen z tohoto listu</t>
  </si>
  <si>
    <t>Es90699K</t>
  </si>
  <si>
    <t>Es90697K</t>
  </si>
  <si>
    <t>SE4015.1-SE4025.1</t>
  </si>
  <si>
    <t>SE4045.1-SE4065.1</t>
  </si>
  <si>
    <t>SE4011 MID</t>
  </si>
  <si>
    <t>SE4041 MID</t>
  </si>
  <si>
    <t>Typ průtokoměru</t>
  </si>
  <si>
    <t>Es90336K/f</t>
  </si>
  <si>
    <t>Es90200K/d</t>
  </si>
  <si>
    <t>SE4015-SE4025 (zahrnuje i SE4011 mimo MID)</t>
  </si>
  <si>
    <t>SE4045-SE4065 (zahrnuje i SE4041 mimo MID)</t>
  </si>
  <si>
    <t xml:space="preserve">ECONOMIC </t>
  </si>
  <si>
    <t>STANDARD (displej)</t>
  </si>
  <si>
    <t>COMFORT (displej + klávesnice)</t>
  </si>
  <si>
    <t xml:space="preserve">PN 16  </t>
  </si>
  <si>
    <t>PN 40</t>
  </si>
  <si>
    <t>Žádná - průtokoměr nemá displej</t>
  </si>
  <si>
    <t>Žádný - průtokoměr nemá displej</t>
  </si>
  <si>
    <t>Komentář</t>
  </si>
  <si>
    <r>
      <t xml:space="preserve">Zde upřesněte všechny parametry, které jsou označené jako NESTANDARDNÍ </t>
    </r>
    <r>
      <rPr>
        <sz val="12"/>
        <color theme="1"/>
        <rFont val="Calibri"/>
        <family val="2"/>
        <charset val="238"/>
        <scheme val="minor"/>
      </rPr>
      <t>(kód OČ = "x")</t>
    </r>
  </si>
  <si>
    <t>ton (US ton)</t>
  </si>
  <si>
    <t>lb (libra)</t>
  </si>
  <si>
    <t>Es90640K/a</t>
  </si>
  <si>
    <t>Es90639K/a</t>
  </si>
  <si>
    <t>12 měsíců</t>
  </si>
  <si>
    <t>Sloupec pro zápis návrhu úprav</t>
  </si>
  <si>
    <t>5 m (standardně)</t>
  </si>
  <si>
    <t>Jednosměrné objemové (standardně)</t>
  </si>
  <si>
    <t>l/imp (standardně)</t>
  </si>
  <si>
    <t>0 ÷ Q₄ (qs)  ~  0 ÷ 1 kHz (standardně)</t>
  </si>
  <si>
    <t>0 ÷ Q₄ (qs)  ~  4 ÷ 20 mA (standardně)</t>
  </si>
  <si>
    <t>m³ (standardně)</t>
  </si>
  <si>
    <t>m³/h (standardně)</t>
  </si>
  <si>
    <t>t (standardně)</t>
  </si>
  <si>
    <t>t/h (standardně)</t>
  </si>
  <si>
    <t>SL  (sudá-lichá) (standardně)</t>
  </si>
  <si>
    <t>24 měsíců (standardně)</t>
  </si>
  <si>
    <t>AS 4087</t>
  </si>
  <si>
    <t>ASME (ANSI) B16.5  (max. DN600)</t>
  </si>
  <si>
    <t>AWWA C207  (DN700 a větší)</t>
  </si>
  <si>
    <t>DN900 ~ 4 600 m³/h</t>
  </si>
  <si>
    <t>21</t>
  </si>
  <si>
    <t>Přidaná DN - poslední úprava 7.4.22</t>
  </si>
  <si>
    <t>Es90153F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</si>
</sst>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5]d\.\ mmmm\ yyyy;@"/>
    <numFmt numFmtId="165" formatCode="000"/>
  </numFmts>
  <fonts count="6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6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9" tint="-0.249977111117893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vertAlign val="subscript"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0"/>
      <color theme="0" tint="-0.14999847407452621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sz val="11"/>
      <color theme="0" tint="-0.1499984740745262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color rgb="FF006600"/>
      <name val="Calibri"/>
      <family val="2"/>
      <charset val="238"/>
      <scheme val="minor"/>
    </font>
    <font>
      <sz val="11"/>
      <color rgb="FF006600"/>
      <name val="Calibri"/>
      <family val="2"/>
      <charset val="238"/>
      <scheme val="minor"/>
    </font>
    <font>
      <b/>
      <sz val="12"/>
      <color theme="0" tint="-0.14999847407452621"/>
      <name val="Calibri"/>
      <family val="2"/>
      <charset val="238"/>
      <scheme val="minor"/>
    </font>
    <font>
      <sz val="12"/>
      <color rgb="FF0066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rgb="FF0033CC"/>
      <name val="Calibri"/>
      <family val="2"/>
      <charset val="238"/>
      <scheme val="minor"/>
    </font>
    <font>
      <b/>
      <sz val="12"/>
      <color rgb="FF0033CC"/>
      <name val="Calibri"/>
      <family val="2"/>
      <charset val="238"/>
      <scheme val="minor"/>
    </font>
    <font>
      <sz val="10"/>
      <color rgb="FF0033CC"/>
      <name val="Calibri"/>
      <family val="2"/>
      <charset val="238"/>
      <scheme val="minor"/>
    </font>
    <font>
      <b/>
      <sz val="10"/>
      <color rgb="FF0033CC"/>
      <name val="Calibri"/>
      <family val="2"/>
      <charset val="238"/>
      <scheme val="minor"/>
    </font>
    <font>
      <sz val="12"/>
      <color rgb="FF0033CC"/>
      <name val="Calibri"/>
      <family val="2"/>
      <charset val="238"/>
      <scheme val="minor"/>
    </font>
    <font>
      <b/>
      <sz val="11"/>
      <color rgb="FF0033CC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color theme="0" tint="-0.34998626667073579"/>
      <name val="Calibri"/>
      <family val="2"/>
      <charset val="238"/>
      <scheme val="minor"/>
    </font>
    <font>
      <sz val="9"/>
      <color theme="0" tint="-0.249977111117893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99003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3"/>
      <color rgb="FF0033CC"/>
      <name val="Calibri"/>
      <family val="2"/>
      <charset val="238"/>
      <scheme val="minor"/>
    </font>
    <font>
      <sz val="8"/>
      <color rgb="FF0033CC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vertAlign val="subscript"/>
      <sz val="10"/>
      <color indexed="8"/>
      <name val="Arial"/>
      <family val="2"/>
      <charset val="238"/>
    </font>
    <font>
      <sz val="11"/>
      <color rgb="FF0000CC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rgb="FFC0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990033"/>
      <name val="Calibri"/>
      <family val="2"/>
      <charset val="238"/>
      <scheme val="minor"/>
    </font>
    <font>
      <b/>
      <sz val="10"/>
      <color rgb="FF0000FF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</font>
    <font>
      <sz val="10.45"/>
      <name val="Calibri"/>
      <family val="2"/>
      <charset val="238"/>
    </font>
    <font>
      <vertAlign val="subscript"/>
      <sz val="9.9499999999999993"/>
      <name val="Calibri"/>
      <family val="2"/>
      <charset val="238"/>
    </font>
    <font>
      <sz val="9.9499999999999993"/>
      <name val="Calibri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i/>
      <sz val="10"/>
      <color rgb="FF0000FF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b/>
      <sz val="12"/>
      <color theme="0" tint="-0.249977111117893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gradientFill type="path" left="0.5" right="0.5" top="0.5" bottom="0.5">
        <stop position="0">
          <color rgb="FFFEE8E6"/>
        </stop>
        <stop position="1">
          <color theme="0" tint="-0.1490218817712943"/>
        </stop>
      </gradientFill>
    </fill>
    <fill>
      <gradientFill type="path" left="0.5" right="0.5" top="0.5" bottom="0.5">
        <stop position="0">
          <color theme="4" tint="0.80001220740379042"/>
        </stop>
        <stop position="1">
          <color theme="0" tint="-0.1490218817712943"/>
        </stop>
      </gradientFill>
    </fill>
    <fill>
      <gradientFill type="path" left="0.5" right="0.5" top="0.5" bottom="0.5">
        <stop position="0">
          <color theme="0" tint="-5.0965910824915313E-2"/>
        </stop>
        <stop position="1">
          <color theme="0" tint="-0.1490218817712943"/>
        </stop>
      </gradient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auto="1"/>
      </patternFill>
    </fill>
    <fill>
      <gradientFill type="path" left="0.5" right="0.5" top="0.5" bottom="0.5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auto="1"/>
      </patternFill>
    </fill>
    <fill>
      <gradientFill type="path" left="0.5" right="0.5" top="0.5" bottom="0.5">
        <stop position="0">
          <color theme="0" tint="-0.1490218817712943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theme="4" tint="0.80001220740379042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rgb="FFFEE8E6"/>
        </stop>
        <stop position="1">
          <color theme="0" tint="-0.25098422193060094"/>
        </stop>
      </gradient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6795556505021"/>
        <bgColor auto="1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indexed="64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/>
      <bottom/>
      <diagonal/>
    </border>
    <border>
      <left/>
      <right style="medium">
        <color theme="0" tint="-0.14993743705557422"/>
      </right>
      <top/>
      <bottom style="medium">
        <color theme="0" tint="-0.14996795556505021"/>
      </bottom>
      <diagonal/>
    </border>
    <border>
      <left/>
      <right style="medium">
        <color theme="0" tint="-0.14993743705557422"/>
      </right>
      <top/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indexed="64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6795556505021"/>
      </top>
      <bottom/>
      <diagonal/>
    </border>
    <border>
      <left/>
      <right style="medium">
        <color theme="0" tint="-0.14993743705557422"/>
      </right>
      <top/>
      <bottom style="mediumDashed">
        <color theme="0" tint="-0.14996795556505021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indexed="64"/>
      </top>
      <bottom/>
      <diagonal/>
    </border>
    <border>
      <left style="dotted">
        <color rgb="FF990033"/>
      </left>
      <right style="dotted">
        <color rgb="FF990033"/>
      </right>
      <top style="dotted">
        <color rgb="FF990033"/>
      </top>
      <bottom style="dotted">
        <color rgb="FF990033"/>
      </bottom>
      <diagonal/>
    </border>
    <border>
      <left style="dotted">
        <color rgb="FF990033"/>
      </left>
      <right style="dotted">
        <color rgb="FF990033"/>
      </right>
      <top style="dotted">
        <color rgb="FF990033"/>
      </top>
      <bottom/>
      <diagonal/>
    </border>
    <border>
      <left style="dotted">
        <color rgb="FF990033"/>
      </left>
      <right style="dotted">
        <color rgb="FF990033"/>
      </right>
      <top/>
      <bottom/>
      <diagonal/>
    </border>
    <border>
      <left style="dotted">
        <color rgb="FF990033"/>
      </left>
      <right style="dotted">
        <color rgb="FF990033"/>
      </right>
      <top/>
      <bottom style="dotted">
        <color rgb="FF990033"/>
      </bottom>
      <diagonal/>
    </border>
    <border>
      <left style="medium">
        <color rgb="FF0033CC"/>
      </left>
      <right/>
      <top/>
      <bottom style="medium">
        <color rgb="FF0033CC"/>
      </bottom>
      <diagonal/>
    </border>
    <border>
      <left/>
      <right style="medium">
        <color rgb="FF0033CC"/>
      </right>
      <top/>
      <bottom style="medium">
        <color rgb="FF0033CC"/>
      </bottom>
      <diagonal/>
    </border>
    <border>
      <left style="medium">
        <color rgb="FF0033CC"/>
      </left>
      <right/>
      <top style="medium">
        <color rgb="FF0033CC"/>
      </top>
      <bottom style="thin">
        <color rgb="FF0033CC"/>
      </bottom>
      <diagonal/>
    </border>
    <border>
      <left/>
      <right style="medium">
        <color rgb="FF0033CC"/>
      </right>
      <top style="medium">
        <color rgb="FF0033CC"/>
      </top>
      <bottom style="thin">
        <color rgb="FF0033CC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0691854609822"/>
      </top>
      <bottom style="medium">
        <color theme="0" tint="-0.14990691854609822"/>
      </bottom>
      <diagonal/>
    </border>
    <border>
      <left/>
      <right/>
      <top style="mediumDashed">
        <color theme="0" tint="-0.14996795556505021"/>
      </top>
      <bottom/>
      <diagonal/>
    </border>
    <border>
      <left/>
      <right style="medium">
        <color theme="0" tint="-0.14993743705557422"/>
      </right>
      <top style="mediumDashed">
        <color theme="0" tint="-0.14996795556505021"/>
      </top>
      <bottom/>
      <diagonal/>
    </border>
    <border>
      <left/>
      <right style="medium">
        <color theme="0" tint="-0.14993743705557422"/>
      </right>
      <top/>
      <bottom style="medium">
        <color theme="0" tint="-0.1498764000366222"/>
      </bottom>
      <diagonal/>
    </border>
    <border>
      <left/>
      <right/>
      <top style="thin">
        <color rgb="FFFF0000"/>
      </top>
      <bottom/>
      <diagonal/>
    </border>
    <border>
      <left/>
      <right/>
      <top style="dashed">
        <color theme="0" tint="-0.34998626667073579"/>
      </top>
      <bottom/>
      <diagonal/>
    </border>
  </borders>
  <cellStyleXfs count="1">
    <xf numFmtId="0" fontId="0" fillId="0" borderId="0"/>
  </cellStyleXfs>
  <cellXfs count="26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4" borderId="0" xfId="0" applyFill="1" applyAlignment="1">
      <alignment horizontal="right" vertical="center" indent="1"/>
    </xf>
    <xf numFmtId="0" fontId="2" fillId="4" borderId="0" xfId="0" applyFont="1" applyFill="1" applyAlignment="1">
      <alignment horizontal="right" vertical="center" indent="1"/>
    </xf>
    <xf numFmtId="0" fontId="2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indent="1"/>
    </xf>
    <xf numFmtId="0" fontId="1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49" fontId="0" fillId="2" borderId="0" xfId="0" applyNumberFormat="1" applyFill="1" applyAlignment="1">
      <alignment vertical="center"/>
    </xf>
    <xf numFmtId="49" fontId="0" fillId="2" borderId="0" xfId="0" applyNumberFormat="1" applyFill="1" applyAlignment="1">
      <alignment vertical="center" wrapText="1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vertical="center" wrapText="1"/>
      <protection locked="0"/>
    </xf>
    <xf numFmtId="49" fontId="13" fillId="2" borderId="0" xfId="0" applyNumberFormat="1" applyFont="1" applyFill="1" applyAlignment="1">
      <alignment vertical="center"/>
    </xf>
    <xf numFmtId="49" fontId="13" fillId="2" borderId="0" xfId="0" applyNumberFormat="1" applyFont="1" applyFill="1" applyAlignment="1">
      <alignment vertical="center" wrapText="1"/>
    </xf>
    <xf numFmtId="0" fontId="15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17" fillId="3" borderId="1" xfId="0" applyFont="1" applyFill="1" applyBorder="1" applyAlignment="1">
      <alignment horizontal="center" vertical="center"/>
    </xf>
    <xf numFmtId="0" fontId="1" fillId="0" borderId="5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0" fillId="3" borderId="0" xfId="0" applyFill="1" applyAlignment="1">
      <alignment horizontal="right" vertical="center" indent="1"/>
    </xf>
    <xf numFmtId="0" fontId="0" fillId="3" borderId="9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2" fillId="3" borderId="9" xfId="0" applyFont="1" applyFill="1" applyBorder="1" applyAlignment="1">
      <alignment horizontal="right" vertical="center" indent="1"/>
    </xf>
    <xf numFmtId="0" fontId="0" fillId="3" borderId="11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17" fillId="3" borderId="1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center" indent="1"/>
    </xf>
    <xf numFmtId="0" fontId="0" fillId="0" borderId="0" xfId="0" applyAlignment="1" applyProtection="1">
      <alignment vertical="center"/>
      <protection hidden="1"/>
    </xf>
    <xf numFmtId="49" fontId="7" fillId="0" borderId="0" xfId="0" applyNumberFormat="1" applyFont="1" applyAlignment="1" applyProtection="1">
      <alignment horizontal="left"/>
      <protection hidden="1"/>
    </xf>
    <xf numFmtId="49" fontId="7" fillId="0" borderId="0" xfId="0" applyNumberFormat="1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18" fillId="0" borderId="0" xfId="0" applyFont="1" applyAlignment="1" applyProtection="1">
      <alignment wrapText="1"/>
      <protection hidden="1"/>
    </xf>
    <xf numFmtId="0" fontId="2" fillId="4" borderId="0" xfId="0" applyFont="1" applyFill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0" fontId="18" fillId="4" borderId="0" xfId="0" applyFont="1" applyFill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/>
      <protection hidden="1"/>
    </xf>
    <xf numFmtId="0" fontId="18" fillId="0" borderId="0" xfId="0" applyFont="1" applyProtection="1">
      <protection hidden="1"/>
    </xf>
    <xf numFmtId="0" fontId="18" fillId="0" borderId="0" xfId="0" applyFont="1" applyAlignment="1" applyProtection="1">
      <alignment horizontal="left"/>
      <protection hidden="1"/>
    </xf>
    <xf numFmtId="0" fontId="5" fillId="4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0" fillId="4" borderId="0" xfId="0" applyFill="1" applyAlignment="1" applyProtection="1">
      <alignment vertical="center"/>
      <protection hidden="1"/>
    </xf>
    <xf numFmtId="164" fontId="0" fillId="0" borderId="7" xfId="0" applyNumberFormat="1" applyBorder="1" applyAlignment="1" applyProtection="1">
      <alignment horizontal="left" vertical="center" wrapText="1"/>
      <protection locked="0"/>
    </xf>
    <xf numFmtId="49" fontId="23" fillId="3" borderId="3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vertical="center"/>
      <protection hidden="1"/>
    </xf>
    <xf numFmtId="49" fontId="20" fillId="0" borderId="0" xfId="0" applyNumberFormat="1" applyFont="1" applyAlignment="1" applyProtection="1">
      <alignment horizontal="right" vertical="center"/>
      <protection hidden="1"/>
    </xf>
    <xf numFmtId="49" fontId="13" fillId="0" borderId="0" xfId="0" applyNumberFormat="1" applyFont="1" applyAlignment="1" applyProtection="1">
      <alignment horizontal="right" vertical="center"/>
      <protection hidden="1"/>
    </xf>
    <xf numFmtId="49" fontId="25" fillId="0" borderId="0" xfId="0" applyNumberFormat="1" applyFont="1" applyAlignment="1" applyProtection="1">
      <alignment horizontal="right" vertical="center"/>
      <protection hidden="1"/>
    </xf>
    <xf numFmtId="49" fontId="1" fillId="0" borderId="7" xfId="0" applyNumberFormat="1" applyFont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25" xfId="0" applyFont="1" applyBorder="1" applyAlignment="1" applyProtection="1">
      <alignment horizontal="left" vertical="center" wrapText="1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49" fontId="1" fillId="0" borderId="26" xfId="0" applyNumberFormat="1" applyFont="1" applyBorder="1" applyAlignment="1" applyProtection="1">
      <alignment vertical="center" wrapText="1"/>
      <protection locked="0"/>
    </xf>
    <xf numFmtId="49" fontId="1" fillId="0" borderId="27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/>
      <protection hidden="1"/>
    </xf>
    <xf numFmtId="0" fontId="1" fillId="0" borderId="7" xfId="0" applyFont="1" applyBorder="1" applyAlignment="1" applyProtection="1">
      <alignment horizontal="left" vertical="center" wrapText="1"/>
      <protection locked="0"/>
    </xf>
    <xf numFmtId="49" fontId="0" fillId="0" borderId="7" xfId="0" applyNumberFormat="1" applyBorder="1" applyAlignment="1" applyProtection="1">
      <alignment horizontal="left" vertical="center" wrapText="1"/>
      <protection locked="0"/>
    </xf>
    <xf numFmtId="49" fontId="0" fillId="0" borderId="6" xfId="0" applyNumberFormat="1" applyBorder="1" applyAlignment="1" applyProtection="1">
      <alignment vertical="center" wrapText="1"/>
      <protection locked="0"/>
    </xf>
    <xf numFmtId="0" fontId="1" fillId="8" borderId="6" xfId="0" applyFont="1" applyFill="1" applyBorder="1" applyAlignment="1" applyProtection="1">
      <alignment vertical="center" wrapText="1"/>
      <protection locked="0"/>
    </xf>
    <xf numFmtId="0" fontId="35" fillId="0" borderId="0" xfId="0" applyFont="1" applyAlignment="1">
      <alignment horizontal="right" vertical="center"/>
    </xf>
    <xf numFmtId="49" fontId="2" fillId="0" borderId="1" xfId="0" applyNumberFormat="1" applyFont="1" applyBorder="1" applyAlignment="1" applyProtection="1">
      <alignment horizontal="center" vertical="center"/>
      <protection hidden="1"/>
    </xf>
    <xf numFmtId="49" fontId="2" fillId="0" borderId="2" xfId="0" applyNumberFormat="1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hidden="1"/>
    </xf>
    <xf numFmtId="49" fontId="36" fillId="0" borderId="9" xfId="0" applyNumberFormat="1" applyFont="1" applyBorder="1" applyAlignment="1" applyProtection="1">
      <alignment horizontal="center" vertical="center"/>
      <protection hidden="1"/>
    </xf>
    <xf numFmtId="49" fontId="15" fillId="0" borderId="0" xfId="0" applyNumberFormat="1" applyFont="1" applyAlignment="1">
      <alignment vertical="center"/>
    </xf>
    <xf numFmtId="49" fontId="16" fillId="3" borderId="8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0" xfId="0" applyFont="1" applyFill="1" applyAlignment="1" applyProtection="1">
      <alignment horizontal="center" vertical="center"/>
      <protection hidden="1"/>
    </xf>
    <xf numFmtId="0" fontId="5" fillId="3" borderId="4" xfId="0" applyFont="1" applyFill="1" applyBorder="1" applyAlignment="1" applyProtection="1">
      <alignment horizontal="center" vertical="center"/>
      <protection hidden="1"/>
    </xf>
    <xf numFmtId="0" fontId="4" fillId="3" borderId="8" xfId="0" applyFont="1" applyFill="1" applyBorder="1" applyAlignment="1" applyProtection="1">
      <alignment horizontal="left" vertical="center"/>
      <protection hidden="1"/>
    </xf>
    <xf numFmtId="0" fontId="0" fillId="3" borderId="8" xfId="0" applyFill="1" applyBorder="1" applyAlignment="1" applyProtection="1">
      <alignment horizontal="left" vertical="center" wrapText="1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2" fillId="3" borderId="14" xfId="0" applyFont="1" applyFill="1" applyBorder="1" applyAlignment="1">
      <alignment horizontal="center" vertical="center"/>
    </xf>
    <xf numFmtId="0" fontId="0" fillId="3" borderId="10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13" fillId="10" borderId="15" xfId="0" applyFont="1" applyFill="1" applyBorder="1" applyAlignment="1" applyProtection="1">
      <alignment vertical="center"/>
      <protection hidden="1"/>
    </xf>
    <xf numFmtId="0" fontId="2" fillId="4" borderId="8" xfId="0" applyFont="1" applyFill="1" applyBorder="1" applyAlignment="1">
      <alignment horizontal="right" vertical="center" indent="1"/>
    </xf>
    <xf numFmtId="0" fontId="0" fillId="4" borderId="8" xfId="0" applyFill="1" applyBorder="1" applyAlignment="1">
      <alignment horizontal="right" vertical="center" indent="1"/>
    </xf>
    <xf numFmtId="0" fontId="18" fillId="0" borderId="32" xfId="0" applyFont="1" applyBorder="1" applyProtection="1">
      <protection hidden="1"/>
    </xf>
    <xf numFmtId="0" fontId="18" fillId="0" borderId="33" xfId="0" applyFont="1" applyBorder="1" applyProtection="1">
      <protection hidden="1"/>
    </xf>
    <xf numFmtId="0" fontId="18" fillId="0" borderId="34" xfId="0" applyFont="1" applyBorder="1" applyProtection="1">
      <protection hidden="1"/>
    </xf>
    <xf numFmtId="0" fontId="18" fillId="0" borderId="31" xfId="0" applyFont="1" applyBorder="1" applyAlignment="1" applyProtection="1">
      <alignment wrapText="1"/>
      <protection hidden="1"/>
    </xf>
    <xf numFmtId="0" fontId="38" fillId="0" borderId="6" xfId="0" applyFont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center"/>
    </xf>
    <xf numFmtId="0" fontId="27" fillId="10" borderId="0" xfId="0" applyFont="1" applyFill="1" applyAlignment="1" applyProtection="1">
      <alignment vertical="center"/>
      <protection hidden="1"/>
    </xf>
    <xf numFmtId="0" fontId="0" fillId="10" borderId="0" xfId="0" applyFill="1" applyAlignment="1" applyProtection="1">
      <alignment vertical="center"/>
      <protection hidden="1"/>
    </xf>
    <xf numFmtId="0" fontId="3" fillId="7" borderId="0" xfId="0" applyFont="1" applyFill="1" applyAlignment="1" applyProtection="1">
      <alignment vertical="center"/>
      <protection hidden="1"/>
    </xf>
    <xf numFmtId="0" fontId="0" fillId="7" borderId="0" xfId="0" applyFill="1" applyAlignment="1" applyProtection="1">
      <alignment vertical="center"/>
      <protection hidden="1"/>
    </xf>
    <xf numFmtId="0" fontId="0" fillId="3" borderId="18" xfId="0" applyFill="1" applyBorder="1" applyAlignment="1" applyProtection="1">
      <alignment vertical="center"/>
      <protection hidden="1"/>
    </xf>
    <xf numFmtId="0" fontId="26" fillId="4" borderId="0" xfId="0" applyFont="1" applyFill="1" applyAlignment="1" applyProtection="1">
      <alignment vertical="center"/>
      <protection hidden="1"/>
    </xf>
    <xf numFmtId="0" fontId="0" fillId="4" borderId="18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2" fillId="3" borderId="3" xfId="0" applyFont="1" applyFill="1" applyBorder="1" applyAlignment="1" applyProtection="1">
      <alignment horizontal="center" vertical="center"/>
      <protection hidden="1"/>
    </xf>
    <xf numFmtId="0" fontId="2" fillId="4" borderId="20" xfId="0" applyFont="1" applyFill="1" applyBorder="1" applyAlignment="1" applyProtection="1">
      <alignment vertical="center"/>
      <protection hidden="1"/>
    </xf>
    <xf numFmtId="0" fontId="1" fillId="4" borderId="24" xfId="0" applyFont="1" applyFill="1" applyBorder="1" applyAlignment="1" applyProtection="1">
      <alignment horizontal="left" vertical="center" wrapText="1"/>
      <protection hidden="1"/>
    </xf>
    <xf numFmtId="0" fontId="1" fillId="4" borderId="25" xfId="0" applyFont="1" applyFill="1" applyBorder="1" applyAlignment="1" applyProtection="1">
      <alignment horizontal="left" vertical="center" wrapText="1"/>
      <protection hidden="1"/>
    </xf>
    <xf numFmtId="0" fontId="19" fillId="3" borderId="2" xfId="0" applyFont="1" applyFill="1" applyBorder="1" applyAlignment="1" applyProtection="1">
      <alignment horizontal="left" vertical="center" wrapText="1"/>
      <protection hidden="1"/>
    </xf>
    <xf numFmtId="0" fontId="2" fillId="4" borderId="28" xfId="0" applyFont="1" applyFill="1" applyBorder="1" applyAlignment="1" applyProtection="1">
      <alignment vertical="center"/>
      <protection hidden="1"/>
    </xf>
    <xf numFmtId="0" fontId="0" fillId="4" borderId="20" xfId="0" applyFill="1" applyBorder="1" applyAlignment="1" applyProtection="1">
      <alignment vertical="center"/>
      <protection hidden="1"/>
    </xf>
    <xf numFmtId="0" fontId="35" fillId="0" borderId="0" xfId="0" applyFont="1" applyAlignment="1" applyProtection="1">
      <alignment horizontal="right" vertical="center"/>
      <protection hidden="1"/>
    </xf>
    <xf numFmtId="0" fontId="17" fillId="3" borderId="13" xfId="0" applyFont="1" applyFill="1" applyBorder="1" applyAlignment="1" applyProtection="1">
      <alignment horizontal="center" vertical="center"/>
      <protection hidden="1"/>
    </xf>
    <xf numFmtId="0" fontId="4" fillId="3" borderId="8" xfId="0" applyFont="1" applyFill="1" applyBorder="1" applyAlignment="1" applyProtection="1">
      <alignment horizontal="left" vertical="center" indent="1"/>
      <protection hidden="1"/>
    </xf>
    <xf numFmtId="0" fontId="19" fillId="3" borderId="8" xfId="0" applyFont="1" applyFill="1" applyBorder="1" applyAlignment="1" applyProtection="1">
      <alignment horizontal="left" vertical="center" wrapText="1"/>
      <protection hidden="1"/>
    </xf>
    <xf numFmtId="0" fontId="2" fillId="3" borderId="14" xfId="0" applyFont="1" applyFill="1" applyBorder="1" applyAlignment="1" applyProtection="1">
      <alignment horizontal="center" vertical="center"/>
      <protection hidden="1"/>
    </xf>
    <xf numFmtId="0" fontId="0" fillId="3" borderId="9" xfId="0" applyFill="1" applyBorder="1" applyAlignment="1" applyProtection="1">
      <alignment vertical="center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2" fillId="3" borderId="9" xfId="0" applyFont="1" applyFill="1" applyBorder="1" applyAlignment="1" applyProtection="1">
      <alignment horizontal="right" vertical="center" indent="1"/>
      <protection hidden="1"/>
    </xf>
    <xf numFmtId="0" fontId="0" fillId="3" borderId="0" xfId="0" applyFill="1" applyAlignment="1" applyProtection="1">
      <alignment horizontal="right" vertical="center" indent="1"/>
      <protection hidden="1"/>
    </xf>
    <xf numFmtId="0" fontId="0" fillId="3" borderId="11" xfId="0" applyFill="1" applyBorder="1" applyAlignment="1" applyProtection="1">
      <alignment vertical="center"/>
      <protection hidden="1"/>
    </xf>
    <xf numFmtId="0" fontId="0" fillId="3" borderId="12" xfId="0" applyFill="1" applyBorder="1" applyAlignment="1" applyProtection="1">
      <alignment vertical="center"/>
      <protection hidden="1"/>
    </xf>
    <xf numFmtId="0" fontId="5" fillId="4" borderId="0" xfId="0" applyFont="1" applyFill="1" applyAlignment="1" applyProtection="1">
      <alignment horizontal="center"/>
      <protection locked="0"/>
    </xf>
    <xf numFmtId="0" fontId="39" fillId="4" borderId="0" xfId="0" applyFont="1" applyFill="1" applyAlignment="1" applyProtection="1">
      <alignment vertical="center"/>
      <protection locked="0"/>
    </xf>
    <xf numFmtId="0" fontId="0" fillId="4" borderId="0" xfId="0" applyFill="1" applyAlignment="1" applyProtection="1">
      <alignment vertical="center"/>
      <protection locked="0"/>
    </xf>
    <xf numFmtId="0" fontId="3" fillId="9" borderId="0" xfId="0" applyFont="1" applyFill="1" applyAlignment="1" applyProtection="1">
      <alignment vertical="center"/>
      <protection hidden="1"/>
    </xf>
    <xf numFmtId="0" fontId="0" fillId="9" borderId="0" xfId="0" applyFill="1" applyAlignment="1" applyProtection="1">
      <alignment vertical="center"/>
      <protection hidden="1"/>
    </xf>
    <xf numFmtId="0" fontId="39" fillId="0" borderId="35" xfId="0" applyFont="1" applyBorder="1" applyAlignment="1" applyProtection="1">
      <alignment vertical="center"/>
      <protection locked="0"/>
    </xf>
    <xf numFmtId="0" fontId="0" fillId="0" borderId="36" xfId="0" applyBorder="1" applyAlignment="1" applyProtection="1">
      <alignment vertical="center"/>
      <protection locked="0"/>
    </xf>
    <xf numFmtId="0" fontId="31" fillId="4" borderId="37" xfId="0" applyFont="1" applyFill="1" applyBorder="1" applyAlignment="1" applyProtection="1">
      <alignment vertical="center"/>
      <protection hidden="1"/>
    </xf>
    <xf numFmtId="0" fontId="0" fillId="4" borderId="38" xfId="0" applyFill="1" applyBorder="1" applyAlignment="1" applyProtection="1">
      <alignment vertical="center"/>
      <protection hidden="1"/>
    </xf>
    <xf numFmtId="0" fontId="40" fillId="3" borderId="29" xfId="0" applyFont="1" applyFill="1" applyBorder="1" applyAlignment="1" applyProtection="1">
      <alignment horizontal="center" vertical="center" wrapText="1"/>
      <protection hidden="1"/>
    </xf>
    <xf numFmtId="0" fontId="46" fillId="2" borderId="0" xfId="0" applyFont="1" applyFill="1" applyAlignment="1">
      <alignment vertical="center"/>
    </xf>
    <xf numFmtId="0" fontId="48" fillId="0" borderId="0" xfId="0" applyFont="1" applyAlignment="1">
      <alignment vertical="center"/>
    </xf>
    <xf numFmtId="0" fontId="0" fillId="2" borderId="39" xfId="0" applyFill="1" applyBorder="1" applyAlignment="1">
      <alignment vertical="center" wrapText="1"/>
    </xf>
    <xf numFmtId="49" fontId="50" fillId="0" borderId="0" xfId="0" applyNumberFormat="1" applyFont="1" applyAlignment="1">
      <alignment vertical="center"/>
    </xf>
    <xf numFmtId="1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39" xfId="0" applyNumberForma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41" fillId="0" borderId="0" xfId="0" applyFont="1" applyAlignment="1">
      <alignment vertical="center"/>
    </xf>
    <xf numFmtId="49" fontId="4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2" borderId="0" xfId="0" applyFont="1" applyFill="1" applyAlignment="1">
      <alignment vertical="center"/>
    </xf>
    <xf numFmtId="49" fontId="0" fillId="0" borderId="40" xfId="0" applyNumberFormat="1" applyBorder="1" applyAlignment="1">
      <alignment horizontal="center" vertical="center"/>
    </xf>
    <xf numFmtId="0" fontId="1" fillId="0" borderId="27" xfId="0" applyFont="1" applyBorder="1" applyAlignment="1" applyProtection="1">
      <alignment horizontal="left" vertical="center" wrapText="1"/>
      <protection locked="0"/>
    </xf>
    <xf numFmtId="0" fontId="1" fillId="0" borderId="41" xfId="0" applyFont="1" applyBorder="1" applyAlignment="1" applyProtection="1">
      <alignment horizontal="left" vertical="center" wrapText="1"/>
      <protection locked="0"/>
    </xf>
    <xf numFmtId="0" fontId="33" fillId="11" borderId="0" xfId="0" applyFont="1" applyFill="1" applyAlignment="1" applyProtection="1">
      <alignment horizontal="center" vertical="center" wrapText="1"/>
      <protection hidden="1"/>
    </xf>
    <xf numFmtId="0" fontId="49" fillId="0" borderId="0" xfId="0" applyFont="1" applyAlignment="1">
      <alignment horizontal="center" vertical="center" wrapText="1"/>
    </xf>
    <xf numFmtId="0" fontId="49" fillId="0" borderId="0" xfId="0" applyFont="1" applyAlignment="1">
      <alignment horizontal="center"/>
    </xf>
    <xf numFmtId="0" fontId="49" fillId="0" borderId="0" xfId="0" applyFont="1" applyAlignment="1">
      <alignment horizontal="center" vertical="center"/>
    </xf>
    <xf numFmtId="0" fontId="13" fillId="0" borderId="0" xfId="0" applyFont="1"/>
    <xf numFmtId="0" fontId="2" fillId="0" borderId="0" xfId="0" applyFont="1" applyAlignment="1">
      <alignment horizontal="center" vertical="center"/>
    </xf>
    <xf numFmtId="49" fontId="55" fillId="0" borderId="0" xfId="0" applyNumberFormat="1" applyFont="1" applyAlignment="1" applyProtection="1">
      <alignment horizontal="center"/>
      <protection hidden="1"/>
    </xf>
    <xf numFmtId="0" fontId="13" fillId="4" borderId="0" xfId="0" applyFont="1" applyFill="1" applyAlignment="1">
      <alignment horizontal="right" vertical="center" indent="1"/>
    </xf>
    <xf numFmtId="0" fontId="1" fillId="4" borderId="26" xfId="0" applyFont="1" applyFill="1" applyBorder="1" applyAlignment="1" applyProtection="1">
      <alignment horizontal="left" vertical="center" wrapText="1"/>
      <protection hidden="1"/>
    </xf>
    <xf numFmtId="0" fontId="13" fillId="9" borderId="18" xfId="0" applyFont="1" applyFill="1" applyBorder="1" applyAlignment="1">
      <alignment horizontal="right" vertical="center" indent="1"/>
    </xf>
    <xf numFmtId="0" fontId="13" fillId="4" borderId="42" xfId="0" applyFont="1" applyFill="1" applyBorder="1" applyAlignment="1">
      <alignment horizontal="right" vertical="center" indent="1"/>
    </xf>
    <xf numFmtId="0" fontId="25" fillId="3" borderId="2" xfId="0" applyFont="1" applyFill="1" applyBorder="1" applyAlignment="1">
      <alignment horizontal="left" vertical="center" indent="1"/>
    </xf>
    <xf numFmtId="0" fontId="0" fillId="4" borderId="44" xfId="0" applyFill="1" applyBorder="1" applyAlignment="1" applyProtection="1">
      <alignment vertical="center"/>
      <protection hidden="1"/>
    </xf>
    <xf numFmtId="49" fontId="0" fillId="2" borderId="39" xfId="0" applyNumberFormat="1" applyFill="1" applyBorder="1" applyAlignment="1">
      <alignment vertical="center" wrapText="1"/>
    </xf>
    <xf numFmtId="0" fontId="0" fillId="0" borderId="39" xfId="0" applyBorder="1" applyAlignment="1">
      <alignment horizontal="center" vertical="center"/>
    </xf>
    <xf numFmtId="0" fontId="46" fillId="2" borderId="0" xfId="0" applyFont="1" applyFill="1" applyAlignment="1">
      <alignment vertical="center" wrapText="1"/>
    </xf>
    <xf numFmtId="0" fontId="13" fillId="2" borderId="39" xfId="0" applyFont="1" applyFill="1" applyBorder="1" applyAlignment="1">
      <alignment vertical="center" wrapText="1"/>
    </xf>
    <xf numFmtId="0" fontId="61" fillId="0" borderId="0" xfId="0" applyFont="1" applyAlignment="1">
      <alignment horizontal="center" vertical="center" wrapText="1"/>
    </xf>
    <xf numFmtId="0" fontId="30" fillId="10" borderId="15" xfId="0" applyFont="1" applyFill="1" applyBorder="1" applyAlignment="1" applyProtection="1">
      <alignment vertical="center"/>
      <protection locked="0" hidden="1"/>
    </xf>
    <xf numFmtId="0" fontId="62" fillId="0" borderId="0" xfId="0" applyFont="1" applyAlignment="1">
      <alignment horizontal="center" vertical="center"/>
    </xf>
    <xf numFmtId="0" fontId="62" fillId="0" borderId="0" xfId="0" applyFont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49" fontId="51" fillId="12" borderId="0" xfId="0" applyNumberFormat="1" applyFont="1" applyFill="1" applyAlignment="1">
      <alignment vertical="center"/>
    </xf>
    <xf numFmtId="0" fontId="64" fillId="12" borderId="0" xfId="0" applyFont="1" applyFill="1"/>
    <xf numFmtId="49" fontId="51" fillId="2" borderId="0" xfId="0" applyNumberFormat="1" applyFont="1" applyFill="1" applyAlignment="1">
      <alignment vertical="center"/>
    </xf>
    <xf numFmtId="0" fontId="64" fillId="2" borderId="0" xfId="0" applyFont="1" applyFill="1"/>
    <xf numFmtId="0" fontId="36" fillId="0" borderId="0" xfId="0" applyFont="1"/>
    <xf numFmtId="0" fontId="50" fillId="0" borderId="0" xfId="0" applyFont="1" applyAlignment="1">
      <alignment horizontal="left" vertical="center"/>
    </xf>
    <xf numFmtId="49" fontId="50" fillId="13" borderId="0" xfId="0" applyNumberFormat="1" applyFont="1" applyFill="1" applyAlignment="1">
      <alignment vertical="center" wrapText="1"/>
    </xf>
    <xf numFmtId="0" fontId="63" fillId="0" borderId="0" xfId="0" applyFont="1" applyProtection="1">
      <protection locked="0"/>
    </xf>
    <xf numFmtId="0" fontId="0" fillId="0" borderId="0" xfId="0" applyProtection="1">
      <protection locked="0"/>
    </xf>
    <xf numFmtId="0" fontId="65" fillId="12" borderId="0" xfId="0" applyFont="1" applyFill="1" applyAlignment="1">
      <alignment horizontal="center"/>
    </xf>
    <xf numFmtId="0" fontId="0" fillId="2" borderId="45" xfId="0" applyFill="1" applyBorder="1" applyAlignment="1">
      <alignment vertical="center"/>
    </xf>
    <xf numFmtId="0" fontId="0" fillId="3" borderId="8" xfId="0" applyFill="1" applyBorder="1" applyAlignment="1">
      <alignment horizontal="left" vertical="center" wrapText="1"/>
    </xf>
    <xf numFmtId="0" fontId="19" fillId="3" borderId="8" xfId="0" applyFont="1" applyFill="1" applyBorder="1" applyAlignment="1">
      <alignment horizontal="left" vertical="center" wrapText="1"/>
    </xf>
    <xf numFmtId="0" fontId="41" fillId="2" borderId="0" xfId="0" applyFont="1" applyFill="1" applyAlignment="1">
      <alignment vertical="center"/>
    </xf>
    <xf numFmtId="0" fontId="33" fillId="0" borderId="0" xfId="0" applyFont="1" applyProtection="1">
      <protection locked="0"/>
    </xf>
    <xf numFmtId="0" fontId="0" fillId="14" borderId="0" xfId="0" applyFill="1" applyAlignment="1">
      <alignment vertical="center"/>
    </xf>
    <xf numFmtId="0" fontId="0" fillId="14" borderId="18" xfId="0" applyFill="1" applyBorder="1" applyAlignment="1">
      <alignment vertical="center"/>
    </xf>
    <xf numFmtId="0" fontId="2" fillId="14" borderId="1" xfId="0" applyFont="1" applyFill="1" applyBorder="1" applyAlignment="1">
      <alignment horizontal="center" vertical="center"/>
    </xf>
    <xf numFmtId="0" fontId="4" fillId="14" borderId="2" xfId="0" applyFont="1" applyFill="1" applyBorder="1" applyAlignment="1">
      <alignment horizontal="left" vertical="center" indent="1"/>
    </xf>
    <xf numFmtId="0" fontId="0" fillId="14" borderId="2" xfId="0" applyFill="1" applyBorder="1" applyAlignment="1">
      <alignment vertical="center"/>
    </xf>
    <xf numFmtId="0" fontId="2" fillId="14" borderId="3" xfId="0" applyFont="1" applyFill="1" applyBorder="1" applyAlignment="1">
      <alignment horizontal="center" vertical="center"/>
    </xf>
    <xf numFmtId="0" fontId="28" fillId="14" borderId="0" xfId="0" applyFont="1" applyFill="1" applyAlignment="1" applyProtection="1">
      <alignment horizontal="center" vertical="center" wrapText="1"/>
      <protection hidden="1"/>
    </xf>
    <xf numFmtId="0" fontId="18" fillId="14" borderId="0" xfId="0" applyFont="1" applyFill="1" applyAlignment="1" applyProtection="1">
      <alignment vertical="center" wrapText="1"/>
      <protection hidden="1"/>
    </xf>
    <xf numFmtId="0" fontId="17" fillId="14" borderId="1" xfId="0" applyFont="1" applyFill="1" applyBorder="1" applyAlignment="1">
      <alignment horizontal="center" vertical="center"/>
    </xf>
    <xf numFmtId="0" fontId="19" fillId="14" borderId="2" xfId="0" applyFont="1" applyFill="1" applyBorder="1" applyAlignment="1">
      <alignment horizontal="left" vertical="center" wrapText="1"/>
    </xf>
    <xf numFmtId="49" fontId="66" fillId="14" borderId="3" xfId="0" applyNumberFormat="1" applyFont="1" applyFill="1" applyBorder="1" applyAlignment="1" applyProtection="1">
      <alignment horizontal="center" vertical="center" wrapText="1"/>
      <protection hidden="1"/>
    </xf>
    <xf numFmtId="0" fontId="66" fillId="14" borderId="3" xfId="0" applyFont="1" applyFill="1" applyBorder="1" applyAlignment="1" applyProtection="1">
      <alignment horizontal="center" vertical="center" wrapText="1"/>
      <protection hidden="1"/>
    </xf>
    <xf numFmtId="0" fontId="3" fillId="16" borderId="0" xfId="0" applyFont="1" applyFill="1" applyAlignment="1">
      <alignment vertical="center"/>
    </xf>
    <xf numFmtId="0" fontId="2" fillId="16" borderId="0" xfId="0" applyFont="1" applyFill="1" applyAlignment="1">
      <alignment horizontal="center" vertical="center"/>
    </xf>
    <xf numFmtId="0" fontId="0" fillId="17" borderId="0" xfId="0" applyFill="1" applyAlignment="1">
      <alignment vertical="center"/>
    </xf>
    <xf numFmtId="0" fontId="28" fillId="18" borderId="0" xfId="0" applyFont="1" applyFill="1" applyAlignment="1" applyProtection="1">
      <alignment horizontal="center" vertical="center" wrapText="1"/>
      <protection hidden="1"/>
    </xf>
    <xf numFmtId="0" fontId="18" fillId="19" borderId="0" xfId="0" applyFont="1" applyFill="1" applyAlignment="1" applyProtection="1">
      <alignment horizontal="center" vertical="center"/>
      <protection hidden="1"/>
    </xf>
    <xf numFmtId="0" fontId="3" fillId="20" borderId="0" xfId="0" applyFont="1" applyFill="1" applyAlignment="1">
      <alignment vertical="center"/>
    </xf>
    <xf numFmtId="0" fontId="0" fillId="20" borderId="0" xfId="0" applyFill="1" applyAlignment="1">
      <alignment vertical="center"/>
    </xf>
    <xf numFmtId="0" fontId="5" fillId="20" borderId="0" xfId="0" applyFont="1" applyFill="1" applyAlignment="1">
      <alignment horizontal="center" vertical="center"/>
    </xf>
    <xf numFmtId="0" fontId="28" fillId="20" borderId="0" xfId="0" applyFont="1" applyFill="1" applyAlignment="1" applyProtection="1">
      <alignment horizontal="center" vertical="center" wrapText="1"/>
      <protection hidden="1"/>
    </xf>
    <xf numFmtId="0" fontId="18" fillId="20" borderId="0" xfId="0" applyFont="1" applyFill="1" applyAlignment="1" applyProtection="1">
      <alignment horizontal="center" vertical="center"/>
      <protection hidden="1"/>
    </xf>
    <xf numFmtId="0" fontId="0" fillId="20" borderId="18" xfId="0" applyFill="1" applyBorder="1" applyAlignment="1">
      <alignment vertical="center"/>
    </xf>
    <xf numFmtId="0" fontId="26" fillId="20" borderId="0" xfId="0" applyFont="1" applyFill="1" applyAlignment="1">
      <alignment vertical="center"/>
    </xf>
    <xf numFmtId="0" fontId="0" fillId="20" borderId="0" xfId="0" applyFill="1"/>
    <xf numFmtId="0" fontId="2" fillId="20" borderId="0" xfId="0" applyFont="1" applyFill="1" applyAlignment="1">
      <alignment vertical="center"/>
    </xf>
    <xf numFmtId="0" fontId="2" fillId="20" borderId="20" xfId="0" applyFont="1" applyFill="1" applyBorder="1" applyAlignment="1">
      <alignment vertical="center"/>
    </xf>
    <xf numFmtId="0" fontId="2" fillId="20" borderId="0" xfId="0" applyFont="1" applyFill="1" applyAlignment="1">
      <alignment horizontal="right" vertical="center" indent="1"/>
    </xf>
    <xf numFmtId="0" fontId="0" fillId="20" borderId="0" xfId="0" applyFill="1" applyAlignment="1">
      <alignment horizontal="right" vertical="center" indent="1"/>
    </xf>
    <xf numFmtId="0" fontId="5" fillId="20" borderId="0" xfId="0" applyFont="1" applyFill="1" applyAlignment="1" applyProtection="1">
      <alignment horizontal="center" vertical="center"/>
      <protection hidden="1"/>
    </xf>
    <xf numFmtId="0" fontId="31" fillId="20" borderId="0" xfId="0" applyFont="1" applyFill="1" applyAlignment="1" applyProtection="1">
      <alignment horizontal="center" vertical="center" wrapText="1"/>
      <protection hidden="1"/>
    </xf>
    <xf numFmtId="0" fontId="2" fillId="20" borderId="0" xfId="0" applyFont="1" applyFill="1" applyAlignment="1" applyProtection="1">
      <alignment vertical="center" wrapText="1"/>
      <protection hidden="1"/>
    </xf>
    <xf numFmtId="0" fontId="13" fillId="20" borderId="0" xfId="0" applyFont="1" applyFill="1" applyAlignment="1">
      <alignment horizontal="right" vertical="center" indent="1"/>
    </xf>
    <xf numFmtId="0" fontId="33" fillId="20" borderId="0" xfId="0" applyFont="1" applyFill="1" applyAlignment="1" applyProtection="1">
      <alignment vertical="center" wrapText="1"/>
      <protection hidden="1"/>
    </xf>
    <xf numFmtId="0" fontId="33" fillId="20" borderId="0" xfId="0" applyFont="1" applyFill="1" applyAlignment="1" applyProtection="1">
      <alignment horizontal="center" vertical="center" wrapText="1"/>
      <protection hidden="1"/>
    </xf>
    <xf numFmtId="0" fontId="37" fillId="21" borderId="18" xfId="0" applyFont="1" applyFill="1" applyBorder="1" applyAlignment="1">
      <alignment horizontal="right" vertical="center" indent="1"/>
    </xf>
    <xf numFmtId="0" fontId="5" fillId="20" borderId="23" xfId="0" applyFont="1" applyFill="1" applyBorder="1" applyAlignment="1" applyProtection="1">
      <alignment horizontal="center" vertical="center"/>
      <protection hidden="1"/>
    </xf>
    <xf numFmtId="0" fontId="37" fillId="20" borderId="0" xfId="0" applyFont="1" applyFill="1" applyAlignment="1">
      <alignment horizontal="right" vertical="center" indent="1"/>
    </xf>
    <xf numFmtId="0" fontId="2" fillId="20" borderId="41" xfId="0" applyFont="1" applyFill="1" applyBorder="1" applyAlignment="1" applyProtection="1">
      <alignment horizontal="left" vertical="center" wrapText="1"/>
      <protection hidden="1"/>
    </xf>
    <xf numFmtId="0" fontId="0" fillId="20" borderId="20" xfId="0" applyFill="1" applyBorder="1" applyAlignment="1">
      <alignment vertical="center"/>
    </xf>
    <xf numFmtId="165" fontId="5" fillId="20" borderId="0" xfId="0" applyNumberFormat="1" applyFont="1" applyFill="1" applyAlignment="1" applyProtection="1">
      <alignment horizontal="center" vertical="center"/>
      <protection hidden="1"/>
    </xf>
    <xf numFmtId="0" fontId="1" fillId="20" borderId="6" xfId="0" applyFont="1" applyFill="1" applyBorder="1" applyAlignment="1" applyProtection="1">
      <alignment vertical="center" wrapText="1"/>
      <protection hidden="1"/>
    </xf>
    <xf numFmtId="0" fontId="2" fillId="20" borderId="8" xfId="0" applyFont="1" applyFill="1" applyBorder="1" applyAlignment="1">
      <alignment horizontal="right" vertical="center" indent="1"/>
    </xf>
    <xf numFmtId="0" fontId="0" fillId="20" borderId="8" xfId="0" applyFill="1" applyBorder="1" applyAlignment="1">
      <alignment horizontal="right" vertical="center" indent="1"/>
    </xf>
    <xf numFmtId="0" fontId="54" fillId="20" borderId="30" xfId="0" applyFont="1" applyFill="1" applyBorder="1" applyAlignment="1" applyProtection="1">
      <alignment vertical="center" wrapText="1"/>
      <protection hidden="1"/>
    </xf>
    <xf numFmtId="0" fontId="0" fillId="20" borderId="15" xfId="0" applyFill="1" applyBorder="1" applyAlignment="1">
      <alignment vertical="center"/>
    </xf>
    <xf numFmtId="0" fontId="31" fillId="20" borderId="15" xfId="0" applyFont="1" applyFill="1" applyBorder="1" applyAlignment="1" applyProtection="1">
      <alignment horizontal="center" vertical="center" wrapText="1"/>
      <protection hidden="1"/>
    </xf>
    <xf numFmtId="0" fontId="2" fillId="20" borderId="15" xfId="0" applyFont="1" applyFill="1" applyBorder="1" applyAlignment="1" applyProtection="1">
      <alignment vertical="center" wrapText="1"/>
      <protection hidden="1"/>
    </xf>
    <xf numFmtId="0" fontId="0" fillId="20" borderId="19" xfId="0" applyFill="1" applyBorder="1" applyAlignment="1">
      <alignment vertical="center"/>
    </xf>
    <xf numFmtId="0" fontId="2" fillId="20" borderId="29" xfId="0" applyFont="1" applyFill="1" applyBorder="1" applyAlignment="1">
      <alignment horizontal="right" vertical="center" indent="1"/>
    </xf>
    <xf numFmtId="0" fontId="0" fillId="20" borderId="29" xfId="0" applyFill="1" applyBorder="1" applyAlignment="1">
      <alignment horizontal="right" vertical="center" indent="1"/>
    </xf>
    <xf numFmtId="0" fontId="8" fillId="20" borderId="21" xfId="0" applyFont="1" applyFill="1" applyBorder="1" applyAlignment="1">
      <alignment vertical="center"/>
    </xf>
    <xf numFmtId="0" fontId="8" fillId="20" borderId="16" xfId="0" applyFont="1" applyFill="1" applyBorder="1" applyAlignment="1">
      <alignment vertical="center"/>
    </xf>
    <xf numFmtId="0" fontId="0" fillId="20" borderId="16" xfId="0" applyFill="1" applyBorder="1" applyAlignment="1">
      <alignment vertical="center"/>
    </xf>
    <xf numFmtId="0" fontId="9" fillId="20" borderId="16" xfId="0" applyFont="1" applyFill="1" applyBorder="1" applyAlignment="1" applyProtection="1">
      <alignment vertical="center"/>
      <protection hidden="1"/>
    </xf>
    <xf numFmtId="0" fontId="28" fillId="20" borderId="16" xfId="0" applyFont="1" applyFill="1" applyBorder="1" applyProtection="1">
      <protection hidden="1"/>
    </xf>
    <xf numFmtId="0" fontId="21" fillId="20" borderId="16" xfId="0" applyFont="1" applyFill="1" applyBorder="1" applyProtection="1">
      <protection hidden="1"/>
    </xf>
    <xf numFmtId="0" fontId="34" fillId="20" borderId="17" xfId="0" applyFont="1" applyFill="1" applyBorder="1" applyAlignment="1">
      <alignment horizontal="right" vertical="center"/>
    </xf>
    <xf numFmtId="0" fontId="16" fillId="20" borderId="23" xfId="0" applyFont="1" applyFill="1" applyBorder="1" applyAlignment="1" applyProtection="1">
      <alignment vertical="center"/>
      <protection hidden="1"/>
    </xf>
    <xf numFmtId="0" fontId="0" fillId="20" borderId="0" xfId="0" applyFill="1" applyAlignment="1" applyProtection="1">
      <alignment vertical="center"/>
      <protection hidden="1"/>
    </xf>
    <xf numFmtId="0" fontId="28" fillId="20" borderId="0" xfId="0" applyFont="1" applyFill="1" applyAlignment="1" applyProtection="1">
      <alignment vertical="top"/>
      <protection hidden="1"/>
    </xf>
    <xf numFmtId="0" fontId="21" fillId="20" borderId="0" xfId="0" applyFont="1" applyFill="1" applyAlignment="1" applyProtection="1">
      <alignment vertical="top"/>
      <protection hidden="1"/>
    </xf>
    <xf numFmtId="0" fontId="16" fillId="20" borderId="22" xfId="0" applyFont="1" applyFill="1" applyBorder="1" applyAlignment="1" applyProtection="1">
      <alignment vertical="center"/>
      <protection hidden="1"/>
    </xf>
    <xf numFmtId="0" fontId="0" fillId="20" borderId="15" xfId="0" applyFill="1" applyBorder="1" applyAlignment="1" applyProtection="1">
      <alignment vertical="center"/>
      <protection hidden="1"/>
    </xf>
    <xf numFmtId="0" fontId="22" fillId="20" borderId="15" xfId="0" applyFont="1" applyFill="1" applyBorder="1" applyAlignment="1" applyProtection="1">
      <alignment horizontal="right" vertical="center"/>
      <protection hidden="1"/>
    </xf>
    <xf numFmtId="0" fontId="24" fillId="20" borderId="15" xfId="0" applyFont="1" applyFill="1" applyBorder="1" applyAlignment="1" applyProtection="1">
      <alignment vertical="center"/>
      <protection hidden="1"/>
    </xf>
    <xf numFmtId="0" fontId="13" fillId="20" borderId="19" xfId="0" applyFont="1" applyFill="1" applyBorder="1" applyAlignment="1" applyProtection="1">
      <alignment horizontal="right" vertical="center"/>
      <protection hidden="1"/>
    </xf>
    <xf numFmtId="0" fontId="36" fillId="7" borderId="0" xfId="0" applyFont="1" applyFill="1" applyAlignment="1" applyProtection="1">
      <alignment vertical="center" wrapText="1"/>
      <protection hidden="1"/>
    </xf>
    <xf numFmtId="0" fontId="31" fillId="6" borderId="0" xfId="0" applyFont="1" applyFill="1" applyAlignment="1" applyProtection="1">
      <alignment horizontal="center" vertical="center" wrapText="1"/>
      <protection hidden="1"/>
    </xf>
    <xf numFmtId="0" fontId="28" fillId="6" borderId="0" xfId="0" applyFont="1" applyFill="1" applyAlignment="1" applyProtection="1">
      <alignment vertical="center" wrapText="1"/>
      <protection hidden="1"/>
    </xf>
    <xf numFmtId="0" fontId="32" fillId="5" borderId="0" xfId="0" applyFont="1" applyFill="1" applyAlignment="1" applyProtection="1">
      <alignment vertical="center" wrapText="1"/>
      <protection hidden="1"/>
    </xf>
    <xf numFmtId="0" fontId="33" fillId="5" borderId="0" xfId="0" applyFont="1" applyFill="1" applyAlignment="1" applyProtection="1">
      <alignment vertical="center" wrapText="1"/>
      <protection hidden="1"/>
    </xf>
    <xf numFmtId="0" fontId="2" fillId="15" borderId="0" xfId="0" applyFont="1" applyFill="1" applyAlignment="1">
      <alignment vertical="center"/>
    </xf>
    <xf numFmtId="0" fontId="2" fillId="15" borderId="9" xfId="0" applyFont="1" applyFill="1" applyBorder="1" applyAlignment="1">
      <alignment vertical="center"/>
    </xf>
    <xf numFmtId="0" fontId="67" fillId="20" borderId="43" xfId="0" applyFont="1" applyFill="1" applyBorder="1" applyAlignment="1">
      <alignment horizontal="right" vertical="top"/>
    </xf>
    <xf numFmtId="0" fontId="5" fillId="20" borderId="46" xfId="0" applyFont="1" applyFill="1" applyBorder="1" applyAlignment="1" applyProtection="1">
      <alignment horizontal="center" vertical="center"/>
      <protection hidden="1"/>
    </xf>
    <xf numFmtId="0" fontId="2" fillId="20" borderId="46" xfId="0" applyFont="1" applyFill="1" applyBorder="1" applyAlignment="1">
      <alignment vertical="center"/>
    </xf>
    <xf numFmtId="0" fontId="31" fillId="20" borderId="46" xfId="0" applyFont="1" applyFill="1" applyBorder="1" applyAlignment="1" applyProtection="1">
      <alignment horizontal="center" vertical="center" wrapText="1"/>
      <protection hidden="1"/>
    </xf>
    <xf numFmtId="0" fontId="33" fillId="20" borderId="46" xfId="0" applyFont="1" applyFill="1" applyBorder="1" applyAlignment="1" applyProtection="1">
      <alignment vertical="center" wrapText="1"/>
      <protection hidden="1"/>
    </xf>
    <xf numFmtId="0" fontId="0" fillId="20" borderId="46" xfId="0" applyFill="1" applyBorder="1" applyAlignment="1">
      <alignment horizontal="right" vertical="center" indent="1"/>
    </xf>
    <xf numFmtId="0" fontId="0" fillId="0" borderId="0" xfId="0" applyAlignment="1">
      <alignment horizontal="left"/>
    </xf>
    <xf numFmtId="0" fontId="0" fillId="0" borderId="0" xfId="0" applyAlignment="1" applyProtection="1">
      <alignment horizontal="left" vertical="top" wrapText="1" indent="1"/>
      <protection locked="0"/>
    </xf>
    <xf numFmtId="0" fontId="44" fillId="3" borderId="0" xfId="0" applyFont="1" applyFill="1" applyAlignment="1" applyProtection="1">
      <alignment horizontal="left" vertical="top" wrapText="1"/>
      <protection hidden="1"/>
    </xf>
    <xf numFmtId="0" fontId="44" fillId="3" borderId="0" xfId="0" applyFont="1" applyFill="1" applyAlignment="1">
      <alignment horizontal="left" vertical="top" wrapText="1"/>
    </xf>
  </cellXfs>
  <cellStyles count="1">
    <cellStyle name="Normální" xfId="0" builtinId="0"/>
  </cellStyles>
  <dxfs count="45">
    <dxf>
      <font>
        <b val="0"/>
        <i val="0"/>
        <color theme="1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theme="0" tint="-0.14996795556505021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strike/>
        <color rgb="FFFF0000"/>
      </font>
    </dxf>
    <dxf>
      <font>
        <strike/>
        <color rgb="FFFF0000"/>
      </font>
    </dxf>
    <dxf>
      <fill>
        <patternFill>
          <bgColor theme="0" tint="-0.14996795556505021"/>
        </patternFill>
      </fill>
    </dxf>
    <dxf>
      <font>
        <strike/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strike/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strike/>
        <color rgb="FFFF0000"/>
      </font>
    </dxf>
    <dxf>
      <fill>
        <patternFill>
          <bgColor theme="0" tint="-0.14996795556505021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color theme="0" tint="-0.14996795556505021"/>
      </font>
    </dxf>
    <dxf>
      <font>
        <strike/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strike/>
        <color theme="0" tint="-0.14996795556505021"/>
      </font>
    </dxf>
    <dxf>
      <font>
        <color theme="0" tint="-0.14996795556505021"/>
      </font>
    </dxf>
    <dxf>
      <font>
        <strike/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strike/>
        <color theme="0" tint="-0.14996795556505021"/>
      </font>
    </dxf>
    <dxf>
      <font>
        <strike/>
        <color theme="0" tint="-0.14996795556505021"/>
      </font>
    </dxf>
  </dxfs>
  <tableStyles count="0" defaultTableStyle="TableStyleMedium2" defaultPivotStyle="PivotStyleLight16"/>
  <colors>
    <mruColors>
      <color rgb="FFFFCCCC"/>
      <color rgb="FF0000FF"/>
      <color rgb="FFFFFFCC"/>
      <color rgb="FF0000CC"/>
      <color rgb="FF990033"/>
      <color rgb="FF008000"/>
      <color rgb="FF339933"/>
      <color rgb="FF0033CC"/>
      <color rgb="FFFF6600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3575883</xdr:colOff>
      <xdr:row>2</xdr:row>
      <xdr:rowOff>80209</xdr:rowOff>
    </xdr:from>
    <xdr:to>
      <xdr:col>4</xdr:col>
      <xdr:colOff>104753</xdr:colOff>
      <xdr:row>2</xdr:row>
      <xdr:rowOff>242114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1DEEBAA-8611-4CC2-B441-FD663B1A0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66708" y="470734"/>
          <a:ext cx="157895" cy="1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  <pageSetUpPr fitToPage="1"/>
  </sheetPr>
  <dimension ref="B1:J70"/>
  <sheetViews>
    <sheetView showGridLines="0" tabSelected="1" zoomScaleNormal="100" workbookViewId="0">
      <pane ySplit="1" topLeftCell="A2" activePane="bottomLeft" state="frozen"/>
      <selection pane="bottomLeft" activeCell="D5" sqref="D5"/>
    </sheetView>
  </sheetViews>
  <sheetFormatPr defaultColWidth="9.140625" defaultRowHeight="15" x14ac:dyDescent="0.25"/>
  <cols>
    <col min="1" max="1" width="0.42578125" style="1" customWidth="1"/>
    <col min="2" max="2" width="4.42578125" style="1" customWidth="1"/>
    <col min="3" max="3" width="38.42578125" style="1" customWidth="1"/>
    <col min="4" max="4" width="54.42578125" style="1" customWidth="1"/>
    <col min="5" max="5" width="9" style="3" bestFit="1" customWidth="1"/>
    <col min="6" max="6" width="0.42578125" style="1" customWidth="1"/>
    <col min="7" max="7" width="22" style="1" customWidth="1"/>
    <col min="8" max="8" width="60.140625" style="1" customWidth="1"/>
    <col min="9" max="9" width="1.140625" style="1" customWidth="1"/>
    <col min="10" max="10" width="2.42578125" style="1" customWidth="1"/>
    <col min="11" max="11" width="3" style="1" customWidth="1"/>
    <col min="12" max="12" width="40.42578125" style="1" bestFit="1" customWidth="1"/>
    <col min="13" max="13" width="2" style="1" bestFit="1" customWidth="1"/>
    <col min="14" max="16384" width="9.140625" style="1"/>
  </cols>
  <sheetData>
    <row r="1" spans="2:10" ht="28.5" customHeight="1" x14ac:dyDescent="0.25">
      <c r="B1" s="189" t="s">
        <v>133</v>
      </c>
      <c r="C1" s="191"/>
      <c r="D1" s="191"/>
      <c r="E1" s="190" t="s">
        <v>23</v>
      </c>
      <c r="F1" s="177"/>
      <c r="G1" s="192" t="s">
        <v>100</v>
      </c>
      <c r="H1" s="193" t="s">
        <v>290</v>
      </c>
      <c r="I1" s="178"/>
    </row>
    <row r="2" spans="2:10" ht="2.25" customHeight="1" x14ac:dyDescent="0.25">
      <c r="B2" s="194"/>
      <c r="C2" s="195"/>
      <c r="D2" s="195"/>
      <c r="E2" s="196"/>
      <c r="F2" s="195"/>
      <c r="G2" s="197"/>
      <c r="H2" s="198"/>
      <c r="I2" s="199"/>
    </row>
    <row r="3" spans="2:10" ht="23.25" customHeight="1" thickBot="1" x14ac:dyDescent="0.3">
      <c r="B3" s="200" t="s">
        <v>314</v>
      </c>
      <c r="C3" s="201"/>
      <c r="D3" s="201"/>
      <c r="E3" s="200" t="s">
        <v>332</v>
      </c>
      <c r="F3" s="201"/>
      <c r="G3" s="202" t="s">
        <v>33</v>
      </c>
      <c r="H3" s="195"/>
      <c r="I3" s="199"/>
    </row>
    <row r="4" spans="2:10" ht="18.75" customHeight="1" thickBot="1" x14ac:dyDescent="0.3">
      <c r="B4" s="179" t="s">
        <v>29</v>
      </c>
      <c r="C4" s="180" t="s">
        <v>5</v>
      </c>
      <c r="D4" s="181"/>
      <c r="E4" s="182"/>
      <c r="F4" s="202"/>
      <c r="G4" s="183"/>
      <c r="H4" s="184"/>
      <c r="I4" s="203"/>
      <c r="J4" s="2"/>
    </row>
    <row r="5" spans="2:10" ht="15.75" thickBot="1" x14ac:dyDescent="0.3">
      <c r="B5" s="204">
        <v>5</v>
      </c>
      <c r="C5" s="205" t="s">
        <v>1</v>
      </c>
      <c r="D5" s="51"/>
      <c r="E5" s="206" t="str">
        <f>IF($D$5=Data!A2,Data!B2,IF($D$5=Data!A3,Data!B3,IF($D$5=Data!A4,Data!B4,IF($D$5=Data!A5,Data!B5,""))))</f>
        <v/>
      </c>
      <c r="F5" s="202"/>
      <c r="G5" s="207"/>
      <c r="H5" s="208"/>
      <c r="I5" s="203"/>
      <c r="J5" s="2"/>
    </row>
    <row r="6" spans="2:10" ht="15.75" thickBot="1" x14ac:dyDescent="0.3">
      <c r="B6" s="204">
        <v>6</v>
      </c>
      <c r="C6" s="205" t="s">
        <v>26</v>
      </c>
      <c r="D6" s="52"/>
      <c r="E6" s="206" t="str">
        <f>IF(D$6=Data!A7,Data!B7,IF(D$6=Data!A8,Data!B8,IF(D$6=Data!A9,Data!B9,"")))</f>
        <v/>
      </c>
      <c r="F6" s="202"/>
      <c r="G6" s="207"/>
      <c r="H6" s="244" t="str">
        <f>IF(OR(D5="",D6=""),"",IF(OR(E5=1,E5=4),IF(E6="1","Toto typové zařazení umožňuje použít průtokoměr pro měřiče tepla.",""),""))</f>
        <v/>
      </c>
      <c r="I6" s="203"/>
      <c r="J6" s="2"/>
    </row>
    <row r="7" spans="2:10" ht="16.5" thickBot="1" x14ac:dyDescent="0.3">
      <c r="B7" s="185" t="s">
        <v>62</v>
      </c>
      <c r="C7" s="180" t="s">
        <v>2</v>
      </c>
      <c r="D7" s="186" t="s">
        <v>62</v>
      </c>
      <c r="E7" s="188" t="str">
        <f>IF(E16="1","-",".1-")</f>
        <v>.1-</v>
      </c>
      <c r="F7" s="202"/>
      <c r="G7" s="183"/>
      <c r="H7" s="184"/>
      <c r="I7" s="203"/>
      <c r="J7" s="2"/>
    </row>
    <row r="8" spans="2:10" ht="15.75" thickBot="1" x14ac:dyDescent="0.3">
      <c r="B8" s="204">
        <v>8</v>
      </c>
      <c r="C8" s="209" t="s">
        <v>322</v>
      </c>
      <c r="D8" s="53"/>
      <c r="E8" s="206" t="str">
        <f>IF(D$8=Data!A11,Data!B11,IF(D$8=Data!A12,Data!B12,IF(D$8=Data!A13,Data!B13,IF(D$8=Data!A14,Data!B14,IF(D$8=Data!A15,Data!B15,IF(D$8=Data!A16,Data!B16,IF(D$8=Data!A17,Data!B17,IF(D$8=Data!A18,Data!B18,IF(D$8=Data!A19,Data!B19,IF(D$8=Data!A20,Data!B20,IF(D$8=Data!A21,Data!B21,IF(D$8=Data!A22,Data!B22,IF(D$8=Data!A23,Data!B23,IF(D$8=Data!A24,Data!B24,IF(D$8=Data!A25,Data!B25,IF(D$8=Data!A26,Data!B26,IF(D$8=Data!A27,Data!B27,IF(D$8=Data!A28,Data!B28,IF(D$8=Data!A29,Data!B29,IF(D$8=Data!A30,Data!B30,IF(D$8=Data!A31,Data!B31,IF(D$8=Data!A32,Data!B32,IF(D$8=Data!A33,Data!B33,IF(D$8=Data!A34,Data!B34,""))))))))))))))))))))))))</f>
        <v/>
      </c>
      <c r="F8" s="202"/>
      <c r="G8" s="207"/>
      <c r="H8" s="247" t="str">
        <f>IF(D5="",IF(D8="","","Hodnotu tohoto údaje smažte! Nejprve zadejte Provedení měřicího čidla"),IF(D8="","",IF(OR(E5=1,E5=2),IF(E8&lt;"09","Chyba - dimenze neodpovídá výše zvolenému Provedení čidla",""),IF(OR(E5=4,E5=6),IF(E8&gt;"11",IF(E8="XX","","Chyba - dimenze neodpovídá výše zvolenému Provedení čidla"),IF(E5=6,IF(E8="01","Chyba - dimenze neodpovídá výše zvolenému Provedení čidla",""),"")),""))))</f>
        <v/>
      </c>
      <c r="I8" s="203"/>
      <c r="J8" s="2"/>
    </row>
    <row r="9" spans="2:10" ht="15.75" thickBot="1" x14ac:dyDescent="0.3">
      <c r="B9" s="204">
        <v>9</v>
      </c>
      <c r="C9" s="205" t="s">
        <v>25</v>
      </c>
      <c r="D9" s="53"/>
      <c r="E9" s="206" t="str">
        <f>IF(D$9=Data!A34,Data!B34,IF(D$9=Data!A35,Data!B35,IF(D$9=Data!A36,Data!B36,IF(D$9=Data!A37,Data!B37,IF(D$9=Data!A38,Data!B38,IF(D$9=Data!A39,Data!B39,IF(D$9=Data!A40,Data!B40,"")))))))</f>
        <v/>
      </c>
      <c r="F9" s="202"/>
      <c r="G9" s="207"/>
      <c r="H9" s="247" t="str">
        <f>IF(E8="xx","",IF(E8&gt;"16",IF(D9="","",IF(E9=2,"NELZE - Příruby ASME lze použít jen pro dimenze DN600 nebo menší!","")),IF(E8&lt;"17",IF(D9="","",IF(E9=4,"NELZE - Příruby AWWA použijte jen pro dimenze DN700 nebo větší!","")),"")))</f>
        <v/>
      </c>
      <c r="I9" s="203"/>
      <c r="J9" s="2"/>
    </row>
    <row r="10" spans="2:10" ht="15.75" thickBot="1" x14ac:dyDescent="0.3">
      <c r="B10" s="204">
        <v>10</v>
      </c>
      <c r="C10" s="205" t="s">
        <v>27</v>
      </c>
      <c r="D10" s="137"/>
      <c r="E10" s="206" t="str">
        <f>IF(D$10=Data!A42,Data!B42,IF(D$10=Data!A43,Data!B43,IF(D$10=Data!A44,Data!B44,IF(D$10=Data!A45,Data!B45,IF(D$10=Data!A46,Data!B46,"")))))</f>
        <v/>
      </c>
      <c r="F10" s="202"/>
      <c r="G10" s="207"/>
      <c r="H10" s="247" t="str">
        <f>IF(D10="","",IF(OR(E5=1,E5=2),IF(OR(E10=1,E10=4,E10="X"),"","Chyba - zvolená varianta je určena jen pro oplášťované provedení čidla"),IF(OR(E5=4,E5=6),IF(E10=1,"Chyba - zvolená varianta není určena pro oplášťované provedení čidla",""),"")))</f>
        <v/>
      </c>
      <c r="I10" s="203"/>
      <c r="J10" s="2"/>
    </row>
    <row r="11" spans="2:10" ht="15.75" thickBot="1" x14ac:dyDescent="0.3">
      <c r="B11" s="204">
        <v>11</v>
      </c>
      <c r="C11" s="205" t="s">
        <v>230</v>
      </c>
      <c r="D11" s="53"/>
      <c r="E11" s="206" t="str">
        <f>IF(D$11=Data!A48,Data!B48,IF(D$11=Data!A49,Data!B49,""))</f>
        <v/>
      </c>
      <c r="F11" s="202"/>
      <c r="G11" s="207"/>
      <c r="H11" s="247" t="str">
        <f>IF(D5="",IF(D11="","","Hodnotu tohoto údaje smažte! Nejprve zadejte Provedení měřicího čidla"),"")</f>
        <v/>
      </c>
      <c r="I11" s="203"/>
      <c r="J11" s="2"/>
    </row>
    <row r="12" spans="2:10" ht="15.75" thickBot="1" x14ac:dyDescent="0.3">
      <c r="B12" s="204">
        <v>12</v>
      </c>
      <c r="C12" s="205" t="s">
        <v>30</v>
      </c>
      <c r="D12" s="137"/>
      <c r="E12" s="206" t="str">
        <f>IF(D$12=Data!A51,Data!B51,IF(D$12=Data!A52,Data!B52,IF(D$12=Data!A53,Data!B53,IF(D$12=Data!A54,Data!B54,IF(D$12=Data!A55,Data!B55,IF(D$12=Data!A56,Data!B56,""))))))</f>
        <v/>
      </c>
      <c r="F12" s="202"/>
      <c r="G12" s="245" t="str">
        <f>IF(D12="",IF(E8="XX","",IF(OR(E5=4,E5=6),IF(E8&lt;"06","PN 40","PN 16 nebo PN 40"),"")),"")</f>
        <v/>
      </c>
      <c r="H12" s="248" t="str">
        <f>IF(OR(E5=4,E5=6),IF(E12=4,"Pro požadovanou DN dodáváme příruby PN40. 
Místo PN25 volte PN40 (příruby mají stejné rozměry)!",""),"")</f>
        <v/>
      </c>
      <c r="I12" s="203"/>
      <c r="J12" s="2"/>
    </row>
    <row r="13" spans="2:10" ht="15.75" thickBot="1" x14ac:dyDescent="0.3">
      <c r="B13" s="204">
        <v>13</v>
      </c>
      <c r="C13" s="205" t="s">
        <v>257</v>
      </c>
      <c r="D13" s="54"/>
      <c r="E13" s="206" t="str">
        <f>IF(D$13=Data!A58,Data!B58,(IF(D$13=Data!A59,Data!B59,"")))</f>
        <v/>
      </c>
      <c r="F13" s="202"/>
      <c r="G13" s="207"/>
      <c r="H13" s="246" t="str">
        <f>IF(E13="X","Hodnotu podtlaku upřesněte v poznámce na konci formuláře.","")</f>
        <v/>
      </c>
      <c r="I13" s="203"/>
      <c r="J13" s="2"/>
    </row>
    <row r="14" spans="2:10" ht="18.75" thickBot="1" x14ac:dyDescent="0.3">
      <c r="B14" s="204">
        <v>14</v>
      </c>
      <c r="C14" s="205" t="s">
        <v>108</v>
      </c>
      <c r="D14" s="53"/>
      <c r="E14" s="206" t="str">
        <f>IF(D$14=Data!A61,Data!B61,IF(D$14=Data!A62,Data!B62,IF(D$14=Data!A63,Data!B63,IF(D$14=Data!A64,Data!B64,IF(D$14=Data!A65,Data!B65,IF(D$14=Data!A66,Data!B66,IF(D$14=Data!A67,Data!B67,"")))))))</f>
        <v/>
      </c>
      <c r="F14" s="202"/>
      <c r="G14" s="207" t="str">
        <f>IF(D14="",IF(E6=0,"Max. 60 °C",IF(E6=4,"Max. 60 °C","")),"")</f>
        <v/>
      </c>
      <c r="H14" s="210"/>
      <c r="I14" s="203"/>
      <c r="J14" s="2"/>
    </row>
    <row r="15" spans="2:10" ht="15.75" thickBot="1" x14ac:dyDescent="0.3">
      <c r="B15" s="204">
        <v>15</v>
      </c>
      <c r="C15" s="205" t="s">
        <v>32</v>
      </c>
      <c r="D15" s="54"/>
      <c r="E15" s="206" t="str">
        <f>IF(D15=Data!A69,Data!B69,IF(D15=Data!A70,Data!B70,IF(D15=Data!A71,Data!B71,"")))</f>
        <v/>
      </c>
      <c r="F15" s="202"/>
      <c r="G15" s="211"/>
      <c r="H15" s="210"/>
      <c r="I15" s="203"/>
      <c r="J15" s="2"/>
    </row>
    <row r="16" spans="2:10" ht="15.75" thickBot="1" x14ac:dyDescent="0.3">
      <c r="B16" s="204">
        <v>16</v>
      </c>
      <c r="C16" s="205" t="s">
        <v>258</v>
      </c>
      <c r="D16" s="54"/>
      <c r="E16" s="206" t="str">
        <f>IF(D16=Data!A73,Data!B73,IF(D16=Data!A74,Data!B74,""))</f>
        <v/>
      </c>
      <c r="F16" s="202"/>
      <c r="G16" s="245" t="str">
        <f>IF(D16="",IF(E6="3","Plastová (krytí IP 65)",""),"")</f>
        <v/>
      </c>
      <c r="H16" s="247" t="str">
        <f>IF(E16="2",IF(E6="3","Pro toto Vybavení průtokoměru může být skříňka pouze Plastová!",""),"")</f>
        <v/>
      </c>
      <c r="I16" s="203"/>
      <c r="J16" s="2"/>
    </row>
    <row r="17" spans="2:10" ht="15.75" hidden="1" thickBot="1" x14ac:dyDescent="0.3">
      <c r="B17" s="204">
        <v>17</v>
      </c>
      <c r="C17" s="205" t="s">
        <v>90</v>
      </c>
      <c r="D17" s="55"/>
      <c r="E17" s="206" t="str">
        <f>IF(D17=Data!A76,Data!B76,IF(D17=Data!A77,Data!B77,IF(D17=Data!A78,Data!B78,IF(D17=Data!A79,Data!B79,IF(D17=Data!A80,Data!B80,IF(D17=Data!A81,Data!B81,"0"))))))</f>
        <v>0</v>
      </c>
      <c r="F17" s="202"/>
      <c r="G17" s="139" t="s">
        <v>259</v>
      </c>
      <c r="H17" s="210"/>
      <c r="I17" s="203"/>
      <c r="J17" s="2"/>
    </row>
    <row r="18" spans="2:10" ht="15.75" hidden="1" thickBot="1" x14ac:dyDescent="0.3">
      <c r="B18" s="204">
        <v>18</v>
      </c>
      <c r="C18" s="212" t="s">
        <v>91</v>
      </c>
      <c r="D18" s="50"/>
      <c r="E18" s="213" t="str">
        <f>IF(E17="0","0",IF(D18=Data!A83,Data!B83,IF(D18=Data!A84,Data!B84,IF(D18=Data!A85,Data!B85,IF(D18=Data!A86,Data!B86,IF(D18=Data!A87,Data!B87,""))))))</f>
        <v>0</v>
      </c>
      <c r="F18" s="202"/>
      <c r="G18" s="139" t="s">
        <v>259</v>
      </c>
      <c r="H18" s="247" t="str">
        <f>IF(D18="","",IF(E17="0",IF(D18="PED není požadováno","","PED není požadováno - údaj musí být prázdný!"),""))</f>
        <v/>
      </c>
      <c r="I18" s="203"/>
      <c r="J18" s="2"/>
    </row>
    <row r="19" spans="2:10" ht="15.75" thickBot="1" x14ac:dyDescent="0.3">
      <c r="B19" s="204">
        <v>19</v>
      </c>
      <c r="C19" s="256" t="s">
        <v>260</v>
      </c>
      <c r="D19" s="50"/>
      <c r="E19" s="252" t="str">
        <f>IF($D$19=Data!A89,Data!B89,IF($D$19=Data!A90,Data!B90,IF($D$19=Data!A91,Data!B91,IF($D$19=Data!A92,Data!B92,IF($D$19=Data!A93,Data!B93,IF($D$19=Data!A94,Data!B94,IF($D$19=Data!A95,Data!B95,IF($D$19=Data!A96,Data!B96,IF($D$19=Data!A97,Data!B97,IF($D$19=Data!A98,Data!B98,IF($D$19=Data!A99,Data!B99,IF($D$19=Data!A100,Data!B100,IF($D$19=Data!A101,Data!B101,IF($D$19=Data!A102,Data!B102,IF($D$19=Data!A103,Data!B103,"")))))))))))))))</f>
        <v/>
      </c>
      <c r="F19" s="253"/>
      <c r="G19" s="254"/>
      <c r="H19" s="255"/>
      <c r="I19" s="251" t="s">
        <v>114</v>
      </c>
      <c r="J19" s="2"/>
    </row>
    <row r="20" spans="2:10" ht="15.75" thickBot="1" x14ac:dyDescent="0.3">
      <c r="B20" s="204">
        <v>20</v>
      </c>
      <c r="C20" s="205" t="s">
        <v>261</v>
      </c>
      <c r="D20" s="53"/>
      <c r="E20" s="206" t="str">
        <f>IF(D$20=Data!A105,Data!B105,IF(D$20=Data!A106,Data!B106,""))</f>
        <v/>
      </c>
      <c r="F20" s="202"/>
      <c r="G20" s="211"/>
      <c r="H20" s="246" t="str">
        <f>IF(E20="X","Charakter a % částic a bublin uveďte v poznámce na konci formuláře!","")</f>
        <v/>
      </c>
      <c r="I20" s="203"/>
      <c r="J20" s="2"/>
    </row>
    <row r="21" spans="2:10" ht="15.75" thickBot="1" x14ac:dyDescent="0.3">
      <c r="B21" s="204">
        <v>21</v>
      </c>
      <c r="C21" s="205" t="s">
        <v>92</v>
      </c>
      <c r="D21" s="50"/>
      <c r="E21" s="206" t="str">
        <f>IF($D$21=Data!A108,Data!B108,IF($D$21=Data!A109,Data!B109,IF($D$21=Data!A110,Data!B110,IF($D$21=Data!A111,Data!B111,IF($D$21=Data!A112,Data!B112,IF($D$21=Data!A113,Data!B113,IF($D$21=Data!A114,Data!B114,IF($D$21=Data!A115,Data!B115,IF($D$21=Data!A116,Data!B116,IF($D$21=Data!A117,Data!B117,IF($D$21=Data!A118,Data!B118,IF($D$21=Data!A119,Data!B119,IF($D$21=Data!A120,Data!B120,"")))))))))))))</f>
        <v/>
      </c>
      <c r="F21" s="202"/>
      <c r="G21" s="207"/>
      <c r="H21" s="210"/>
      <c r="I21" s="203"/>
      <c r="J21" s="2"/>
    </row>
    <row r="22" spans="2:10" ht="16.5" thickBot="1" x14ac:dyDescent="0.3">
      <c r="B22" s="185" t="s">
        <v>62</v>
      </c>
      <c r="C22" s="180" t="s">
        <v>34</v>
      </c>
      <c r="D22" s="186" t="s">
        <v>62</v>
      </c>
      <c r="E22" s="187" t="s">
        <v>0</v>
      </c>
      <c r="F22" s="249"/>
      <c r="G22" s="183"/>
      <c r="H22" s="184"/>
      <c r="I22" s="203"/>
      <c r="J22" s="2"/>
    </row>
    <row r="23" spans="2:10" ht="15.75" thickBot="1" x14ac:dyDescent="0.3">
      <c r="B23" s="204">
        <v>23</v>
      </c>
      <c r="C23" s="205" t="s">
        <v>35</v>
      </c>
      <c r="D23" s="20"/>
      <c r="E23" s="206" t="str">
        <f>IF(D23=Data!A122,Data!B122,IF(D23=Data!A123,Data!B123,IF(D23=Data!A124,Data!B124,IF(D23=Data!A125,Data!B125,""))))</f>
        <v/>
      </c>
      <c r="F23" s="202"/>
      <c r="G23" s="207"/>
      <c r="H23" s="210"/>
      <c r="I23" s="203"/>
      <c r="J23" s="2"/>
    </row>
    <row r="24" spans="2:10" ht="15.75" thickBot="1" x14ac:dyDescent="0.3">
      <c r="B24" s="204">
        <v>24</v>
      </c>
      <c r="C24" s="205" t="s">
        <v>38</v>
      </c>
      <c r="D24" s="14"/>
      <c r="E24" s="206" t="str">
        <f>IF(D24=Data!A127,Data!B127,IF(D24=Data!A128,Data!B128,IF(D24=Data!A129,Data!B129,IF(D24=Data!A130,Data!B130,""))))</f>
        <v/>
      </c>
      <c r="F24" s="202"/>
      <c r="G24" s="207"/>
      <c r="H24" s="210"/>
      <c r="I24" s="203"/>
      <c r="J24" s="2"/>
    </row>
    <row r="25" spans="2:10" ht="15.75" thickBot="1" x14ac:dyDescent="0.3">
      <c r="B25" s="204">
        <v>25</v>
      </c>
      <c r="C25" s="205" t="s">
        <v>103</v>
      </c>
      <c r="D25" s="13"/>
      <c r="E25" s="206" t="str">
        <f>IF(D25=Data!A132,Data!B132,IF(D25=Data!A133,Data!B133,IF(D25=Data!A134,Data!B134,IF(D25=Data!A135,Data!B135,IF(D25=Data!A136,Data!B136,IF(D25=Data!A137,Data!B137,IF(D25=Data!A138,Data!B138,IF(D25=Data!A139,Data!B139,IF(D25=Data!A140,Data!B140,IF(D25=Data!A141,Data!B141,IF(D25=Data!A142,Data!B142,"")))))))))))</f>
        <v/>
      </c>
      <c r="F25" s="202"/>
      <c r="G25" s="207"/>
      <c r="H25" s="210"/>
      <c r="I25" s="203"/>
      <c r="J25" s="2"/>
    </row>
    <row r="26" spans="2:10" ht="15.75" thickBot="1" x14ac:dyDescent="0.3">
      <c r="B26" s="204">
        <v>26</v>
      </c>
      <c r="C26" s="214" t="s">
        <v>279</v>
      </c>
      <c r="D26" s="14"/>
      <c r="E26" s="206" t="str">
        <f>IF(E25="0","00",IF(E25="1","01",IF(D26=Data!A146,Data!B146,IF(D26=Data!A147,Data!B147,IF(D26=Data!A148,Data!B148,IF(D26=Data!A149,Data!B149,IF(D26=Data!A150,Data!B150,IF(D26=Data!A151,Data!B151,IF(D26=Data!A152,Data!B152,IF(D26=Data!A153,Data!B153,IF(D26=Data!A154,Data!B154,IF(D26=Data!A155,Data!B155,""))))))))))))</f>
        <v/>
      </c>
      <c r="F26" s="202"/>
      <c r="G26" s="207"/>
      <c r="H26" s="247" t="str">
        <f>IF(E25="0",IF(D26="","","Impulzní výstup není požadován, údaj musí být prázdný!"),IF(E25="1",IF(D26="","","Je vybrán Standardní impulzní výstup, údaj musí být prázdný!"),IF(E26="XX","ok",IF(OR(E23="1",E23="3"),IF(E26&gt;"06","Pro vybraný Druh měření (objemové) nelze použít hmotnostní jednotky.",""),""))))</f>
        <v/>
      </c>
      <c r="I26" s="203"/>
      <c r="J26" s="2"/>
    </row>
    <row r="27" spans="2:10" ht="15.75" thickBot="1" x14ac:dyDescent="0.3">
      <c r="B27" s="204">
        <v>27</v>
      </c>
      <c r="C27" s="205" t="s">
        <v>262</v>
      </c>
      <c r="D27" s="14"/>
      <c r="E27" s="206" t="str">
        <f>IF(D27=Data!A157,Data!B157,IF(D27=Data!A158,Data!B158,IF(D27=Data!A159,Data!B159,IF(D27=Data!A160,Data!B160,IF(D27=Data!A161,Data!B161,IF(D27=Data!A162,Data!B162,""))))))</f>
        <v/>
      </c>
      <c r="F27" s="202"/>
      <c r="G27" s="207"/>
      <c r="H27" s="210"/>
      <c r="I27" s="203"/>
      <c r="J27" s="2"/>
    </row>
    <row r="28" spans="2:10" ht="15.75" thickBot="1" x14ac:dyDescent="0.3">
      <c r="B28" s="204">
        <v>28</v>
      </c>
      <c r="C28" s="205" t="s">
        <v>263</v>
      </c>
      <c r="D28" s="60"/>
      <c r="E28" s="206" t="str">
        <f>IF(D28=Data!A164,Data!B164,IF(D28=Data!A165,Data!B165,IF(D28=Data!A166,Data!B166,IF(D28=Data!A167,Data!B167,""))))</f>
        <v/>
      </c>
      <c r="F28" s="202"/>
      <c r="G28" s="207"/>
      <c r="H28" s="248" t="str">
        <f>IF(OR(E23="2",E23="4"),IF(E28="0","Bez proudového výstupu, nelze hmotnostní průtok užít k fakturaci!",""),"")</f>
        <v/>
      </c>
      <c r="I28" s="203"/>
      <c r="J28" s="2"/>
    </row>
    <row r="29" spans="2:10" ht="15.75" thickBot="1" x14ac:dyDescent="0.3">
      <c r="B29" s="204">
        <v>29</v>
      </c>
      <c r="C29" s="205" t="s">
        <v>266</v>
      </c>
      <c r="D29" s="14"/>
      <c r="E29" s="206" t="str">
        <f>IF(D29=Data!A169,Data!B169,IF(D29=Data!A170,Data!B170,IF(D29=Data!A171,Data!B171,IF(D29=Data!A172,Data!B172,IF(D29=Data!A173,Data!B173,IF(D29=Data!A174,Data!B174,IF(D29=Data!A175,Data!B175,IF(D29=Data!A176,Data!B176,IF(D29=Data!A177,Data!B177,IF(D29=Data!A178,Data!B178,IF(D29=Data!A179,Data!B179,IF(D29=Data!A180,Data!B180,IF(D29=Data!A181,Data!B181,IF(D29=Data!A182,Data!B182,IF(D29=Data!A183,Data!B183,IF(D29=Data!A184,Data!B184,""))))))))))))))))</f>
        <v/>
      </c>
      <c r="F29" s="202"/>
      <c r="G29" s="207"/>
      <c r="H29" s="210"/>
      <c r="I29" s="203"/>
      <c r="J29" s="2"/>
    </row>
    <row r="30" spans="2:10" ht="15.75" thickBot="1" x14ac:dyDescent="0.3">
      <c r="B30" s="204">
        <v>30</v>
      </c>
      <c r="C30" s="214" t="s">
        <v>267</v>
      </c>
      <c r="D30" s="215" t="str">
        <f>IF(OR(E6="1",E6="5"),"",IF(OR(E23="2",E23="4"),Data!A188,IF(OR(E23="1",E23="3"),Data!A187,"")))</f>
        <v/>
      </c>
      <c r="E30" s="206" t="str">
        <f>IF(E6="1","0",IF(E6="5","1",IF(OR(E23="1",E23="3"),"1",IF(OR(E23="2",E23="4"),"2",""))))</f>
        <v/>
      </c>
      <c r="F30" s="202"/>
      <c r="G30" s="207"/>
      <c r="H30" s="210"/>
      <c r="I30" s="203"/>
      <c r="J30" s="2"/>
    </row>
    <row r="31" spans="2:10" ht="15.75" thickBot="1" x14ac:dyDescent="0.3">
      <c r="B31" s="204">
        <v>31</v>
      </c>
      <c r="C31" s="214" t="s">
        <v>268</v>
      </c>
      <c r="D31" s="138"/>
      <c r="E31" s="206" t="str">
        <f>IF(OR(E6="1",E6="5"),"0",IF(OR(E23="1",E23="3"),"1",IF(D31=Data!A191,Data!B191,IF(D31=Data!A192,Data!B192,IF(D31=Data!A193,Data!B193,IF(D31=Data!A194,Data!B194,""))))))</f>
        <v/>
      </c>
      <c r="F31" s="202"/>
      <c r="G31" s="207"/>
      <c r="H31" s="247" t="str">
        <f>IF(E31="0",IF(D31="","","Je vybrán průtokoměr bez displeje, nebo COMFORT, údaj musí být prázdný!"),IF(OR(E23="1",E23="3"),IF(D31="","","Pro vybraný Druh měření (objemové) údaj nevyplňujte."),""))</f>
        <v/>
      </c>
      <c r="I31" s="203"/>
      <c r="J31" s="2"/>
    </row>
    <row r="32" spans="2:10" ht="15.75" thickBot="1" x14ac:dyDescent="0.3">
      <c r="B32" s="204">
        <v>32</v>
      </c>
      <c r="C32" s="214" t="s">
        <v>270</v>
      </c>
      <c r="D32" s="138"/>
      <c r="E32" s="206" t="str">
        <f>IF(E6="1","0",IF(D32=Data!A197,Data!B197,IF(D32=Data!A198,Data!B198,IF(D32=Data!A199,Data!B199,IF(D32=Data!A200,Data!B200,IF(D32=Data!A201,Data!B201,IF(D32=Data!A202,Data!B202,"")))))))</f>
        <v/>
      </c>
      <c r="F32" s="195"/>
      <c r="G32" s="207"/>
      <c r="H32" s="247" t="str">
        <f>IF(E32="0",IF(D32="","","Je vybrán průtokoměr bez displeje, údaj musí být prázdný!"),"")</f>
        <v/>
      </c>
      <c r="I32" s="216"/>
    </row>
    <row r="33" spans="2:9" ht="15.75" thickBot="1" x14ac:dyDescent="0.3">
      <c r="B33" s="204">
        <v>33</v>
      </c>
      <c r="C33" s="214" t="s">
        <v>271</v>
      </c>
      <c r="D33" s="138"/>
      <c r="E33" s="206" t="str">
        <f>IF(E6="1","00",IF(D33=Data!A205,Data!B205,IF(D33=Data!A206,Data!B206,IF(D33=Data!A207,Data!B207,IF(D33=Data!A208,Data!B208,IF(D33=Data!A209,Data!B209,IF(D33=Data!A210,Data!B210,IF(D33=Data!A211,Data!B211,IF(D33=Data!A212,Data!B212,IF(D33=Data!A213,Data!B213,IF(D33=Data!A214,Data!B214,IF(D33=Data!A215,Data!B215,IF(D33=Data!A216,Data!B216,IF(D33=Data!A217,Data!B217,IF(D33=Data!A218,Data!B218,IF(D33=Data!A219,Data!B219,IF(D33=Data!A220,Data!B220,"")))))))))))))))))</f>
        <v/>
      </c>
      <c r="F33" s="195"/>
      <c r="G33" s="207"/>
      <c r="H33" s="247" t="str">
        <f>IF(E33="00",IF(D33="","","Je vybrán průtokoměr bez displeje, údaj musí být prázdný!"),"")</f>
        <v/>
      </c>
      <c r="I33" s="216"/>
    </row>
    <row r="34" spans="2:9" ht="15.75" thickBot="1" x14ac:dyDescent="0.3">
      <c r="B34" s="204">
        <v>34</v>
      </c>
      <c r="C34" s="214" t="s">
        <v>272</v>
      </c>
      <c r="D34" s="138"/>
      <c r="E34" s="206" t="str">
        <f>IF(OR(E6="1",E23="1",E23="3"),"0",IF(D34=Data!A223,Data!B223,IF(D34=Data!A224,Data!B224,IF(D34=Data!A225,Data!B225,IF(D34=Data!A226,Data!B226,IF(D34=Data!A227,Data!B227,""))))))</f>
        <v/>
      </c>
      <c r="F34" s="195"/>
      <c r="G34" s="207"/>
      <c r="H34" s="247" t="str">
        <f>IF(E34="0",IF(D34="","","Údaj musí být prázdný (není displej nebo Druh měření není hmotnostní)!"),"")</f>
        <v/>
      </c>
      <c r="I34" s="216"/>
    </row>
    <row r="35" spans="2:9" ht="15.75" thickBot="1" x14ac:dyDescent="0.3">
      <c r="B35" s="204">
        <v>35</v>
      </c>
      <c r="C35" s="214" t="s">
        <v>273</v>
      </c>
      <c r="D35" s="138"/>
      <c r="E35" s="206" t="str">
        <f>IF(OR(E6="1",E23="1",E23="3"),"00",IF(D35=Data!A230,Data!B230,IF(D35=Data!A231,Data!B231,IF(D35=Data!A232,Data!B232,IF(D35=Data!A233,Data!B233,IF(D35=Data!A234,Data!B234,IF(D35=Data!A235,Data!B235,IF(D35=Data!A236,Data!B236,IF(D35=Data!A237,Data!B237,IF(D35=Data!A238,Data!B238,IF(D35=Data!A239,Data!B239,IF(D35=Data!A240,Data!B240,IF(D35=Data!A241,Data!B241,IF(D35=Data!A242,Data!B242,""))))))))))))))</f>
        <v/>
      </c>
      <c r="F35" s="195"/>
      <c r="G35" s="207"/>
      <c r="H35" s="247" t="str">
        <f>IF(E35="00",IF(D35="","","Údaj musí být prázdný (není displej nebo Druh měření není hmotnostní)!"),"")</f>
        <v/>
      </c>
      <c r="I35" s="216"/>
    </row>
    <row r="36" spans="2:9" ht="15.75" thickBot="1" x14ac:dyDescent="0.3">
      <c r="B36" s="204">
        <v>36</v>
      </c>
      <c r="C36" s="214" t="s">
        <v>274</v>
      </c>
      <c r="D36" s="138"/>
      <c r="E36" s="206" t="str">
        <f>IF(OR(E6="1",E23="1",E23="3"),"0",IF(D36=Data!A245,Data!B245,IF(D36=Data!A246,Data!B246,"")))</f>
        <v/>
      </c>
      <c r="F36" s="195"/>
      <c r="G36" s="207"/>
      <c r="H36" s="247" t="str">
        <f>IF(E36="0",IF(D36="","","Údaj musí být prázdný (průtokoměr nemá displej nebo teploměr)!"),"")</f>
        <v/>
      </c>
      <c r="I36" s="216"/>
    </row>
    <row r="37" spans="2:9" ht="15.75" thickBot="1" x14ac:dyDescent="0.3">
      <c r="B37" s="204">
        <v>37</v>
      </c>
      <c r="C37" s="214" t="s">
        <v>275</v>
      </c>
      <c r="D37" s="138"/>
      <c r="E37" s="206" t="str">
        <f>IF(E6="1","0",IF(D37=Data!A249,Data!B249,IF(D37=Data!A250,Data!B250,"")))</f>
        <v/>
      </c>
      <c r="F37" s="195"/>
      <c r="G37" s="207"/>
      <c r="H37" s="247" t="str">
        <f>IF(E37="0",IF(D37="","","Je vybrán průtokoměr bez displeje, údaj musí být prázdný!"),"")</f>
        <v/>
      </c>
      <c r="I37" s="216"/>
    </row>
    <row r="38" spans="2:9" ht="15.75" thickBot="1" x14ac:dyDescent="0.3">
      <c r="B38" s="204">
        <v>38</v>
      </c>
      <c r="C38" s="214" t="s">
        <v>48</v>
      </c>
      <c r="D38" s="138"/>
      <c r="E38" s="206" t="str">
        <f>IF(E6="1","0",IF(D38=Data!A253,Data!B253,IF(D38=Data!A254,Data!B254,IF(D38=Data!A255,Data!B255,IF(D38=Data!A256,Data!B256,IF(D38=Data!A257,Data!B257,IF(D38=Data!A258,Data!B258,IF(D38=Data!A259,Data!B259,""))))))))</f>
        <v/>
      </c>
      <c r="F38" s="195"/>
      <c r="G38" s="207"/>
      <c r="H38" s="247" t="str">
        <f>IF(E38="0",IF(D38="","","Je vybrán průtokoměr bez displeje, údaj musí být prázdný!"),"")</f>
        <v/>
      </c>
      <c r="I38" s="216"/>
    </row>
    <row r="39" spans="2:9" ht="16.5" thickBot="1" x14ac:dyDescent="0.3">
      <c r="B39" s="185" t="s">
        <v>62</v>
      </c>
      <c r="C39" s="180" t="s">
        <v>63</v>
      </c>
      <c r="D39" s="186" t="s">
        <v>62</v>
      </c>
      <c r="E39" s="187" t="s">
        <v>0</v>
      </c>
      <c r="F39" s="249"/>
      <c r="G39" s="183"/>
      <c r="H39" s="184"/>
      <c r="I39" s="203"/>
    </row>
    <row r="40" spans="2:9" ht="15.75" thickBot="1" x14ac:dyDescent="0.3">
      <c r="B40" s="204">
        <v>40</v>
      </c>
      <c r="C40" s="205" t="s">
        <v>45</v>
      </c>
      <c r="D40" s="14"/>
      <c r="E40" s="206" t="str">
        <f>IF(D40=Data!A261,Data!B261,IF(D40=Data!A262,Data!B262,IF(D40=Data!A263,Data!B263,"")))</f>
        <v/>
      </c>
      <c r="F40" s="195"/>
      <c r="G40" s="207"/>
      <c r="H40" s="247" t="str">
        <f>IF(D40="","",IF(E40="2",IF(E$38=4,"NELZE - pokud je zobrazovací jazyk Ruština, nelze použít MODBUS RTU",""),""))</f>
        <v/>
      </c>
      <c r="I40" s="216"/>
    </row>
    <row r="41" spans="2:9" ht="15.75" thickBot="1" x14ac:dyDescent="0.3">
      <c r="B41" s="204">
        <v>41</v>
      </c>
      <c r="C41" s="214" t="s">
        <v>97</v>
      </c>
      <c r="D41" s="13"/>
      <c r="E41" s="217" t="str">
        <f>IF(E$40="0","000",IF(D41="","",IF(D41=0,"000",IF(D41&gt;0,D41,""))))</f>
        <v/>
      </c>
      <c r="F41" s="195"/>
      <c r="G41" s="207"/>
      <c r="H41" s="247" t="str">
        <f>IF(D41="","",IF(E$40="0","CHYBA - komunikace není požadována, údaj musí být prázdný",""))</f>
        <v/>
      </c>
      <c r="I41" s="216"/>
    </row>
    <row r="42" spans="2:9" ht="15.75" thickBot="1" x14ac:dyDescent="0.3">
      <c r="B42" s="204">
        <v>42</v>
      </c>
      <c r="C42" s="214" t="s">
        <v>98</v>
      </c>
      <c r="D42" s="13"/>
      <c r="E42" s="217" t="str">
        <f>IF(E$40="0","000",IF(D42="","",IF(D42=0,"000",IF(D42&gt;0,D42,""))))</f>
        <v/>
      </c>
      <c r="F42" s="195"/>
      <c r="G42" s="207"/>
      <c r="H42" s="247" t="str">
        <f>IF(D42="","",IF(E$40="0","CHYBA - komunikace není požadována, údaj musí být prázdný",""))</f>
        <v/>
      </c>
      <c r="I42" s="216"/>
    </row>
    <row r="43" spans="2:9" ht="15.75" thickBot="1" x14ac:dyDescent="0.3">
      <c r="B43" s="204">
        <v>43</v>
      </c>
      <c r="C43" s="214" t="s">
        <v>49</v>
      </c>
      <c r="D43" s="218" t="str">
        <f>IF(E40="0","",IF(E40="","",IF(E40="2","9 600 Bd","4 800 Bd")))</f>
        <v/>
      </c>
      <c r="E43" s="206" t="str">
        <f>IF(E40="0","0",IF(E40="1","4",IF(E40="2","5","")))</f>
        <v/>
      </c>
      <c r="F43" s="195"/>
      <c r="G43" s="207"/>
      <c r="H43" s="247" t="str">
        <f>IF(D43="","",IF(E$40="0",IF(D43="0","","CHYBA - komunikace není požadována, údaj musí být prázdný!"),""))</f>
        <v/>
      </c>
      <c r="I43" s="216"/>
    </row>
    <row r="44" spans="2:9" ht="15.75" thickBot="1" x14ac:dyDescent="0.3">
      <c r="B44" s="204">
        <v>44</v>
      </c>
      <c r="C44" s="214" t="s">
        <v>46</v>
      </c>
      <c r="D44" s="21"/>
      <c r="E44" s="206" t="str">
        <f>IF(OR(E40="0",E40="2"),"0",IF(D44=Data!A273,Data!B273,IF(D44=Data!A274,Data!B274,IF(D44=Data!A275,Data!B275,IF(D44=Data!A276,Data!B276,IF(D44=Data!A277,Data!B277,IF(D44=Data!A278,Data!B278,"")))))))</f>
        <v/>
      </c>
      <c r="F44" s="195"/>
      <c r="G44" s="207"/>
      <c r="H44" s="247" t="str">
        <f>IF(D44="","",IF(OR(E$40="0",E$40="2"),"CHYBA - údaj musí být prázdný!",""))</f>
        <v/>
      </c>
      <c r="I44" s="216"/>
    </row>
    <row r="45" spans="2:9" ht="16.5" thickBot="1" x14ac:dyDescent="0.3">
      <c r="B45" s="185" t="s">
        <v>62</v>
      </c>
      <c r="C45" s="180" t="s">
        <v>219</v>
      </c>
      <c r="D45" s="186" t="s">
        <v>62</v>
      </c>
      <c r="E45" s="187" t="s">
        <v>0</v>
      </c>
      <c r="F45" s="249"/>
      <c r="G45" s="183"/>
      <c r="H45" s="184"/>
      <c r="I45" s="203"/>
    </row>
    <row r="46" spans="2:9" ht="15.75" thickBot="1" x14ac:dyDescent="0.3">
      <c r="B46" s="204">
        <v>46</v>
      </c>
      <c r="C46" s="205" t="s">
        <v>277</v>
      </c>
      <c r="D46" s="21"/>
      <c r="E46" s="206" t="str">
        <f>IF(D46=Data!A280,Data!B280,IF(D46=Data!A281,Data!B281,IF(D46=Data!A282,Data!B282,IF(D46=Data!A283,Data!B283,IF(D46=Data!A284,Data!B284,IF(D46=Data!A285,Data!B285,""))))))</f>
        <v/>
      </c>
      <c r="F46" s="195"/>
      <c r="G46" s="207"/>
      <c r="H46" s="247" t="str">
        <f>IF(E46=2,"Standardní = kalibrace ve 3 bodech.",IF(OR(E46=5,E46=6),IF(AND((OR(E5=1,E5=4)),E6="1"),IF(OR(E46=5,E46=6),IF(E15="3","Chyba - toto ověřemí nelze provést pro napájení 24 V DC!",IF(E16="2","Toto ověřemí nelze použít u hliníkové skříňky elektroniky.",IF(E19="01","","Chyba - toto ověřemí lze užít pouze při měření VODY.")))),"Zvolte kalibraci - úředně ověřit lze jen jednopaprskový ECONOMIC. "),IF(E46="x","Např.: Kalibrace ve více bodech, ověření s jinou přesností atp.","")))</f>
        <v/>
      </c>
      <c r="I46" s="216"/>
    </row>
    <row r="47" spans="2:9" ht="16.5" thickBot="1" x14ac:dyDescent="0.3">
      <c r="B47" s="185" t="s">
        <v>62</v>
      </c>
      <c r="C47" s="180" t="s">
        <v>50</v>
      </c>
      <c r="D47" s="186" t="s">
        <v>62</v>
      </c>
      <c r="E47" s="187" t="s">
        <v>0</v>
      </c>
      <c r="F47" s="249"/>
      <c r="G47" s="183"/>
      <c r="H47" s="184"/>
      <c r="I47" s="203"/>
    </row>
    <row r="48" spans="2:9" ht="15.75" thickBot="1" x14ac:dyDescent="0.3">
      <c r="B48" s="204">
        <v>48</v>
      </c>
      <c r="C48" s="205" t="s">
        <v>107</v>
      </c>
      <c r="D48" s="57"/>
      <c r="E48" s="217" t="str">
        <f>IF(D48="","",IF(D48=0,"000",IF(D48&gt;0,D48,"")))</f>
        <v/>
      </c>
      <c r="F48" s="195"/>
      <c r="G48" s="207"/>
      <c r="H48" s="208"/>
      <c r="I48" s="216"/>
    </row>
    <row r="49" spans="2:9" ht="15.75" thickBot="1" x14ac:dyDescent="0.3">
      <c r="B49" s="204">
        <v>49</v>
      </c>
      <c r="C49" s="205" t="s">
        <v>51</v>
      </c>
      <c r="D49" s="21"/>
      <c r="E49" s="206" t="str">
        <f>IF(D49=Data!A289,Data!B289,IF(D49=Data!A290,Data!B290,IF(D49=Data!A291,Data!B291,"")))</f>
        <v/>
      </c>
      <c r="F49" s="195"/>
      <c r="G49" s="207"/>
      <c r="H49" s="208"/>
      <c r="I49" s="216"/>
    </row>
    <row r="50" spans="2:9" ht="15.75" thickBot="1" x14ac:dyDescent="0.3">
      <c r="B50" s="204">
        <v>50</v>
      </c>
      <c r="C50" s="205" t="s">
        <v>52</v>
      </c>
      <c r="D50" s="21"/>
      <c r="E50" s="206" t="str">
        <f>IF(D50=Data!A293,Data!B293,IF(D50=Data!A294,Data!B294,IF(D50=Data!A295,Data!B295,IF(D50=Data!A296,Data!B296,""))))</f>
        <v/>
      </c>
      <c r="F50" s="195"/>
      <c r="G50" s="207"/>
      <c r="H50" s="208"/>
      <c r="I50" s="216"/>
    </row>
    <row r="51" spans="2:9" ht="15.75" thickBot="1" x14ac:dyDescent="0.3">
      <c r="B51" s="204">
        <v>51</v>
      </c>
      <c r="C51" s="205" t="s">
        <v>53</v>
      </c>
      <c r="D51" s="21"/>
      <c r="E51" s="206" t="str">
        <f>IF(D51=Data!A298,Data!B298,IF(D51=Data!A299,Data!B299,IF(D51=Data!A300,Data!B300,IF(D51=Data!A301,Data!B301,IF(D51=Data!A302,Data!B302,IF(D51=Data!A303,Data!B303,""))))))</f>
        <v/>
      </c>
      <c r="F51" s="195"/>
      <c r="G51" s="207"/>
      <c r="H51" s="208"/>
      <c r="I51" s="216"/>
    </row>
    <row r="52" spans="2:9" ht="16.5" thickBot="1" x14ac:dyDescent="0.3">
      <c r="B52" s="185" t="s">
        <v>62</v>
      </c>
      <c r="C52" s="180" t="s">
        <v>64</v>
      </c>
      <c r="D52" s="186" t="s">
        <v>62</v>
      </c>
      <c r="E52" s="187" t="s">
        <v>0</v>
      </c>
      <c r="F52" s="250"/>
      <c r="G52" s="183"/>
      <c r="H52" s="184"/>
      <c r="I52" s="203"/>
    </row>
    <row r="53" spans="2:9" ht="15.75" thickBot="1" x14ac:dyDescent="0.3">
      <c r="B53" s="219">
        <v>53</v>
      </c>
      <c r="C53" s="220" t="s">
        <v>99</v>
      </c>
      <c r="D53" s="221" t="str">
        <f>IF(D46="","",IF(OR(E46=5,E46=6),IF(E5=1,Man_4011MID,IF(E5=4,Man_4041MID,"Není MID - chybný stav - manuál nelze přiřadit.")),IF(OR(E5=1,E5=2),IF(E16="1",Man_4015_4025,Man_4015.1_4025.1),IF(E16="1",Man_4045_4065,Man_4045.1_4065.1))))</f>
        <v/>
      </c>
      <c r="E53" s="206" t="str">
        <f>IF(D53=Data!A305,Data!B305,IF(D53=Data!A306,Data!B306,IF(D53=Data!A307,Data!B307,IF(D53=Data!A308,Data!B308,IF(D53=Data!A309,Data!B309,IF(D53=Data!A310,Data!B310,""))))))</f>
        <v/>
      </c>
      <c r="F53" s="222"/>
      <c r="G53" s="223"/>
      <c r="H53" s="224"/>
      <c r="I53" s="225"/>
    </row>
    <row r="54" spans="2:9" ht="18" thickBot="1" x14ac:dyDescent="0.3">
      <c r="B54" s="226">
        <v>54</v>
      </c>
      <c r="C54" s="227" t="s">
        <v>116</v>
      </c>
      <c r="D54" s="85"/>
      <c r="E54" s="122"/>
      <c r="F54" s="222"/>
      <c r="G54" s="223"/>
      <c r="H54" s="224"/>
      <c r="I54" s="225"/>
    </row>
    <row r="55" spans="2:9" ht="9.75" customHeight="1" thickBot="1" x14ac:dyDescent="0.3">
      <c r="E55" s="42"/>
      <c r="H55" s="30"/>
    </row>
    <row r="56" spans="2:9" ht="20.25" customHeight="1" x14ac:dyDescent="0.2">
      <c r="B56" s="228"/>
      <c r="C56" s="229" t="s">
        <v>24</v>
      </c>
      <c r="D56" s="230"/>
      <c r="E56" s="231"/>
      <c r="F56" s="231"/>
      <c r="G56" s="232" t="s">
        <v>68</v>
      </c>
      <c r="H56" s="233"/>
      <c r="I56" s="234"/>
    </row>
    <row r="57" spans="2:9" ht="19.5" customHeight="1" x14ac:dyDescent="0.25">
      <c r="B57" s="235"/>
      <c r="C57" s="87" t="str">
        <f>IF(Nezadano=0,Tech!B4&amp;Tech!B5&amp;Tech!B6&amp;Tech!B7&amp;Tech!B8&amp;Tech!B9&amp;Tech!B10&amp;Tech!B11&amp;Tech!B12&amp;Tech!B13&amp;Tech!B14&amp;Tech!B15&amp;Tech!B16&amp;Tech!B17&amp;Tech!B18&amp;Tech!B19&amp;Tech!B20&amp;Tech!B21&amp;Tech!B22&amp;Tech!B23&amp;Tech!B24&amp;Tech!B25&amp;Tech!B26&amp;Tech!B27&amp;Tech!B28&amp;Tech!B29&amp;Tech!B30&amp;Tech!B31&amp;Tech!B32&amp;Tech!B33&amp;Tech!B34&amp;Tech!B35&amp;Tech!B36&amp;Tech!B37&amp;Tech!B38&amp;Tech!B39&amp;Tech!B40&amp;Tech!B41&amp;Tech!B42&amp;Tech!B43&amp;Tech!B44&amp;Tech!B45&amp;Tech!B46&amp;Tech!B47&amp;Tech!B48&amp;Tech!B49&amp;Tech!B50&amp;Tech!B51&amp;Tech!B52&amp;Tech!B53&amp;Tech!B54&amp;Tech!B55&amp;Tech!B56,"Úplné objednací číslo se vygeneruje až po zadání všech parametrů.")</f>
        <v>Úplné objednací číslo se vygeneruje až po zadání všech parametrů.</v>
      </c>
      <c r="D57" s="88"/>
      <c r="E57" s="236"/>
      <c r="F57" s="236"/>
      <c r="G57" s="237" t="s">
        <v>102</v>
      </c>
      <c r="H57" s="238"/>
      <c r="I57" s="199"/>
    </row>
    <row r="58" spans="2:9" ht="19.5" customHeight="1" thickBot="1" x14ac:dyDescent="0.3">
      <c r="B58" s="239"/>
      <c r="C58" s="157" t="str">
        <f>IF(NezadanHW=0,Tech!B4&amp;Tech!B5&amp;Tech!B6&amp;Tech!B7&amp;Tech!B8&amp;Tech!B9&amp;Tech!B10&amp;Tech!B11&amp;Tech!B12&amp;Tech!B13&amp;Tech!B14&amp;Tech!B15&amp;Tech!B16&amp;Tech!B17&amp;Tech!B18,"")</f>
        <v/>
      </c>
      <c r="D58" s="78" t="str">
        <f>IF(NezadanHW=0,"← Část Objednacího čísla definující konstrukci výrobku.","")</f>
        <v/>
      </c>
      <c r="E58" s="240"/>
      <c r="F58" s="241"/>
      <c r="G58" s="242"/>
      <c r="H58" s="242"/>
      <c r="I58" s="243"/>
    </row>
    <row r="59" spans="2:9" ht="9.75" customHeight="1" thickBot="1" x14ac:dyDescent="0.3">
      <c r="E59" s="42"/>
      <c r="H59" s="30"/>
      <c r="I59" s="61" t="str">
        <f>IF(Nezadano&gt;=0,Tech!B4&amp;Tech!B5&amp;Tech!B6&amp;Tech!B7&amp;Tech!B8&amp;Tech!B9&amp;Tech!B10&amp;Tech!B11&amp;Tech!B12&amp;Tech!B13&amp;Tech!B14&amp;Tech!B15&amp;Tech!B16&amp;Tech!B17&amp;Tech!B18&amp;Tech!B19&amp;Tech!B20&amp;Tech!B21&amp;Tech!B22&amp;Tech!B23&amp;Tech!B24&amp;Tech!B25&amp;Tech!B26&amp;Tech!B27&amp;Tech!B29&amp;Tech!B30&amp;Tech!B31&amp;Tech!B32&amp;Tech!B33&amp;Tech!B34&amp;Tech!B35&amp;Tech!B36&amp;Tech!B37&amp;Tech!B38&amp;Tech!B39&amp;Tech!B40&amp;Tech!B41&amp;Tech!B42&amp;Tech!B43&amp;Tech!B44&amp;Tech!B45&amp;Tech!B46&amp;Tech!B47&amp;Tech!B48&amp;Tech!B49&amp;Tech!B50&amp;Tech!B51&amp;Tech!B52&amp;Tech!B53&amp;Tech!B54&amp;Tech!B55&amp;Tech!B56,"Vygeneruje se až po zadání všech parametrů.")</f>
        <v>SE40.1-00-----</v>
      </c>
    </row>
    <row r="60" spans="2:9" ht="23.25" customHeight="1" x14ac:dyDescent="0.25">
      <c r="B60" s="28"/>
      <c r="C60" s="29" t="s">
        <v>356</v>
      </c>
      <c r="D60" s="174"/>
      <c r="E60" s="68"/>
      <c r="F60" s="173"/>
      <c r="G60" s="71" t="s">
        <v>101</v>
      </c>
      <c r="H60" s="72"/>
      <c r="I60" s="75"/>
    </row>
    <row r="61" spans="2:9" ht="145.5" customHeight="1" x14ac:dyDescent="0.25">
      <c r="B61" s="23"/>
      <c r="C61" s="258"/>
      <c r="D61" s="258"/>
      <c r="E61" s="69"/>
      <c r="F61" s="24"/>
      <c r="G61" s="259" t="str">
        <f>SoupisNP</f>
        <v/>
      </c>
      <c r="H61" s="260"/>
      <c r="I61" s="76"/>
    </row>
    <row r="62" spans="2:9" ht="8.25" customHeight="1" thickBot="1" x14ac:dyDescent="0.3">
      <c r="B62" s="23"/>
      <c r="C62" s="24"/>
      <c r="D62" s="24"/>
      <c r="E62" s="69"/>
      <c r="F62" s="24"/>
      <c r="G62" s="24"/>
      <c r="H62" s="73"/>
      <c r="I62" s="76"/>
    </row>
    <row r="63" spans="2:9" ht="17.45" customHeight="1" thickBot="1" x14ac:dyDescent="0.3">
      <c r="B63" s="25"/>
      <c r="C63" s="22" t="s">
        <v>67</v>
      </c>
      <c r="D63" s="44"/>
      <c r="E63" s="69"/>
      <c r="F63" s="24"/>
      <c r="G63" s="24"/>
      <c r="H63" s="73"/>
      <c r="I63" s="76"/>
    </row>
    <row r="64" spans="2:9" ht="17.45" customHeight="1" thickBot="1" x14ac:dyDescent="0.3">
      <c r="B64" s="25"/>
      <c r="C64" s="22" t="s">
        <v>104</v>
      </c>
      <c r="D64" s="58"/>
      <c r="E64" s="69"/>
      <c r="F64" s="24"/>
      <c r="G64" s="24"/>
      <c r="H64" s="73"/>
      <c r="I64" s="76"/>
    </row>
    <row r="65" spans="2:9" ht="17.45" customHeight="1" thickBot="1" x14ac:dyDescent="0.3">
      <c r="B65" s="25"/>
      <c r="C65" s="22" t="s">
        <v>122</v>
      </c>
      <c r="D65" s="58"/>
      <c r="E65" s="69"/>
      <c r="F65" s="24"/>
      <c r="G65" s="24"/>
      <c r="H65" s="73"/>
      <c r="I65" s="76"/>
    </row>
    <row r="66" spans="2:9" ht="17.45" customHeight="1" thickBot="1" x14ac:dyDescent="0.3">
      <c r="B66" s="25"/>
      <c r="C66" s="22" t="s">
        <v>105</v>
      </c>
      <c r="D66" s="58"/>
      <c r="E66" s="69"/>
      <c r="F66" s="24"/>
      <c r="G66" s="24"/>
      <c r="H66" s="73"/>
      <c r="I66" s="76"/>
    </row>
    <row r="67" spans="2:9" ht="17.45" customHeight="1" thickBot="1" x14ac:dyDescent="0.3">
      <c r="B67" s="25"/>
      <c r="C67" s="22" t="s">
        <v>106</v>
      </c>
      <c r="D67" s="58"/>
      <c r="E67" s="69"/>
      <c r="F67" s="24"/>
      <c r="G67" s="24"/>
      <c r="H67" s="73"/>
      <c r="I67" s="76"/>
    </row>
    <row r="68" spans="2:9" ht="17.45" customHeight="1" thickBot="1" x14ac:dyDescent="0.3">
      <c r="B68" s="25"/>
      <c r="C68" s="22" t="s">
        <v>121</v>
      </c>
      <c r="D68" s="59"/>
      <c r="E68" s="69"/>
      <c r="F68" s="24"/>
      <c r="G68" s="24"/>
      <c r="H68" s="73"/>
      <c r="I68" s="76"/>
    </row>
    <row r="69" spans="2:9" ht="8.25" customHeight="1" thickBot="1" x14ac:dyDescent="0.3">
      <c r="B69" s="26"/>
      <c r="C69" s="27"/>
      <c r="D69" s="27"/>
      <c r="E69" s="70"/>
      <c r="F69" s="27"/>
      <c r="G69" s="27"/>
      <c r="H69" s="74"/>
      <c r="I69" s="77"/>
    </row>
    <row r="70" spans="2:9" ht="18" customHeight="1" x14ac:dyDescent="0.25">
      <c r="B70" s="257" t="s">
        <v>380</v>
      </c>
    </row>
  </sheetData>
  <sheetProtection algorithmName="SHA-512" hashValue="Q6uiM7Bm2GMoYjRCN+Hx8n3ngX1cj/k1Xb1zlmKIBzwhSDWuXKPnpCP5x3R+WspSyzX4xIeYevDeUdnMNDKwDA==" saltValue="V0+3ZszUVwNV5GOpc7sGWA==" spinCount="100000" sheet="1" objects="1" scenarios="1" formatColumns="0" formatRows="0"/>
  <mergeCells count="2">
    <mergeCell ref="C61:D61"/>
    <mergeCell ref="G61:H61"/>
  </mergeCells>
  <conditionalFormatting sqref="C18">
    <cfRule type="expression" dxfId="44" priority="115">
      <formula>$E$17="0"</formula>
    </cfRule>
  </conditionalFormatting>
  <conditionalFormatting sqref="C26">
    <cfRule type="expression" dxfId="43" priority="105" stopIfTrue="1">
      <formula>$E$25="0"</formula>
    </cfRule>
    <cfRule type="expression" dxfId="42" priority="113">
      <formula>$E$25="1"</formula>
    </cfRule>
  </conditionalFormatting>
  <conditionalFormatting sqref="C30">
    <cfRule type="expression" dxfId="41" priority="7">
      <formula>$E$6="5"</formula>
    </cfRule>
    <cfRule type="expression" dxfId="40" priority="8">
      <formula>$E$6="1"</formula>
    </cfRule>
  </conditionalFormatting>
  <conditionalFormatting sqref="C31">
    <cfRule type="expression" dxfId="39" priority="9" stopIfTrue="1">
      <formula>$E$6="1"</formula>
    </cfRule>
    <cfRule type="expression" dxfId="38" priority="11" stopIfTrue="1">
      <formula>$E$23="1"</formula>
    </cfRule>
    <cfRule type="expression" dxfId="37" priority="10">
      <formula>$E$6="5"</formula>
    </cfRule>
    <cfRule type="expression" dxfId="36" priority="12">
      <formula>$E$23="3"</formula>
    </cfRule>
  </conditionalFormatting>
  <conditionalFormatting sqref="C32:C33">
    <cfRule type="expression" dxfId="35" priority="36">
      <formula>$E$6="1"</formula>
    </cfRule>
  </conditionalFormatting>
  <conditionalFormatting sqref="C34:C36">
    <cfRule type="expression" dxfId="34" priority="2" stopIfTrue="1">
      <formula>$E$23="1"</formula>
    </cfRule>
    <cfRule type="expression" dxfId="33" priority="3">
      <formula>$E$23="3"</formula>
    </cfRule>
    <cfRule type="expression" dxfId="32" priority="1" stopIfTrue="1">
      <formula>$E$6="1"</formula>
    </cfRule>
  </conditionalFormatting>
  <conditionalFormatting sqref="C37:C38">
    <cfRule type="expression" dxfId="31" priority="34">
      <formula>$E$6="1"</formula>
    </cfRule>
  </conditionalFormatting>
  <conditionalFormatting sqref="C41:C44">
    <cfRule type="expression" dxfId="30" priority="39">
      <formula>$E$40="0"</formula>
    </cfRule>
  </conditionalFormatting>
  <conditionalFormatting sqref="C44">
    <cfRule type="expression" dxfId="29" priority="122">
      <formula>$E$40="2"</formula>
    </cfRule>
  </conditionalFormatting>
  <conditionalFormatting sqref="D10">
    <cfRule type="expression" dxfId="28" priority="63">
      <formula>$H10&lt;&gt;""</formula>
    </cfRule>
  </conditionalFormatting>
  <conditionalFormatting sqref="D12">
    <cfRule type="expression" dxfId="27" priority="61">
      <formula>$H12&lt;&gt;""</formula>
    </cfRule>
  </conditionalFormatting>
  <conditionalFormatting sqref="D16">
    <cfRule type="expression" dxfId="26" priority="65">
      <formula>$H$16&lt;&gt;""</formula>
    </cfRule>
  </conditionalFormatting>
  <conditionalFormatting sqref="D18">
    <cfRule type="expression" dxfId="25" priority="116">
      <formula>$E$17="0"</formula>
    </cfRule>
  </conditionalFormatting>
  <conditionalFormatting sqref="D26">
    <cfRule type="expression" dxfId="24" priority="60">
      <formula>$H$26&lt;&gt;""</formula>
    </cfRule>
    <cfRule type="expression" dxfId="23" priority="97">
      <formula>$E$25="1"</formula>
    </cfRule>
    <cfRule type="expression" dxfId="22" priority="96">
      <formula>$E$25="0"</formula>
    </cfRule>
  </conditionalFormatting>
  <conditionalFormatting sqref="D31">
    <cfRule type="expression" dxfId="21" priority="13">
      <formula>$H$31&lt;&gt;""</formula>
    </cfRule>
    <cfRule type="expression" dxfId="20" priority="14" stopIfTrue="1">
      <formula>$E$6="1"</formula>
    </cfRule>
    <cfRule type="expression" dxfId="19" priority="15">
      <formula>$E$6="5"</formula>
    </cfRule>
    <cfRule type="expression" dxfId="18" priority="16" stopIfTrue="1">
      <formula>$E$23="1"</formula>
    </cfRule>
    <cfRule type="expression" dxfId="17" priority="17">
      <formula>$E$23="3"</formula>
    </cfRule>
  </conditionalFormatting>
  <conditionalFormatting sqref="D32">
    <cfRule type="expression" dxfId="16" priority="53">
      <formula>$H32&lt;&gt;""</formula>
    </cfRule>
  </conditionalFormatting>
  <conditionalFormatting sqref="D32:D38">
    <cfRule type="expression" dxfId="15" priority="31">
      <formula>$E$6="1"</formula>
    </cfRule>
  </conditionalFormatting>
  <conditionalFormatting sqref="D33">
    <cfRule type="expression" dxfId="14" priority="52">
      <formula>$H$33&lt;&gt;""</formula>
    </cfRule>
  </conditionalFormatting>
  <conditionalFormatting sqref="D34">
    <cfRule type="expression" dxfId="13" priority="51">
      <formula>$H$34&lt;&gt;""</formula>
    </cfRule>
  </conditionalFormatting>
  <conditionalFormatting sqref="D34:D36">
    <cfRule type="expression" dxfId="12" priority="75">
      <formula>$E$23="1"</formula>
    </cfRule>
    <cfRule type="expression" dxfId="11" priority="79">
      <formula>$E$23="3"</formula>
    </cfRule>
  </conditionalFormatting>
  <conditionalFormatting sqref="D35">
    <cfRule type="expression" dxfId="10" priority="50">
      <formula>$H$35&lt;&gt;""</formula>
    </cfRule>
  </conditionalFormatting>
  <conditionalFormatting sqref="D36">
    <cfRule type="expression" dxfId="9" priority="49">
      <formula>$H$36&lt;&gt;""</formula>
    </cfRule>
  </conditionalFormatting>
  <conditionalFormatting sqref="D37:D38">
    <cfRule type="expression" dxfId="8" priority="30">
      <formula>$H37&lt;&gt;""</formula>
    </cfRule>
  </conditionalFormatting>
  <conditionalFormatting sqref="D41">
    <cfRule type="expression" dxfId="7" priority="48">
      <formula>$H$41&lt;&gt;""</formula>
    </cfRule>
  </conditionalFormatting>
  <conditionalFormatting sqref="D41:D44">
    <cfRule type="expression" dxfId="6" priority="45">
      <formula>$E$40="0"</formula>
    </cfRule>
  </conditionalFormatting>
  <conditionalFormatting sqref="D42">
    <cfRule type="expression" dxfId="5" priority="47">
      <formula>$H$42&lt;&gt;""</formula>
    </cfRule>
  </conditionalFormatting>
  <conditionalFormatting sqref="D43">
    <cfRule type="expression" dxfId="4" priority="46">
      <formula>$H$43&lt;&gt;""</formula>
    </cfRule>
  </conditionalFormatting>
  <conditionalFormatting sqref="D44">
    <cfRule type="expression" dxfId="3" priority="38">
      <formula>$H$44&lt;&gt;""</formula>
    </cfRule>
    <cfRule type="expression" dxfId="2" priority="123">
      <formula>$E$40="2"</formula>
    </cfRule>
  </conditionalFormatting>
  <conditionalFormatting sqref="H46">
    <cfRule type="expression" dxfId="1" priority="72" stopIfTrue="1">
      <formula>$E$46=2</formula>
    </cfRule>
    <cfRule type="expression" dxfId="0" priority="73">
      <formula>$E$46="x"</formula>
    </cfRule>
  </conditionalFormatting>
  <dataValidations count="40">
    <dataValidation type="list" allowBlank="1" showInputMessage="1" showErrorMessage="1" sqref="D5" xr:uid="{00000000-0002-0000-0000-000000000000}">
      <formula1>OC_PMC</formula1>
    </dataValidation>
    <dataValidation type="list" allowBlank="1" showInputMessage="1" showErrorMessage="1" sqref="D6" xr:uid="{00000000-0002-0000-0000-000001000000}">
      <formula1>OC_VaPP</formula1>
    </dataValidation>
    <dataValidation type="list" allowBlank="1" showInputMessage="1" showErrorMessage="1" sqref="D8" xr:uid="{00000000-0002-0000-0000-000002000000}">
      <formula1>OC_DC</formula1>
    </dataValidation>
    <dataValidation type="list" allowBlank="1" showInputMessage="1" showErrorMessage="1" sqref="D9" xr:uid="{00000000-0002-0000-0000-000003000000}">
      <formula1>OC_PC</formula1>
    </dataValidation>
    <dataValidation type="list" allowBlank="1" showInputMessage="1" showErrorMessage="1" sqref="D10" xr:uid="{00000000-0002-0000-0000-000004000000}">
      <formula1>OC_MaPUC</formula1>
    </dataValidation>
    <dataValidation type="list" allowBlank="1" showInputMessage="1" showErrorMessage="1" sqref="D31" xr:uid="{00000000-0002-0000-0000-000005000000}">
      <formula1>OC_D2R</formula1>
    </dataValidation>
    <dataValidation type="list" allowBlank="1" showInputMessage="1" showErrorMessage="1" sqref="D12" xr:uid="{00000000-0002-0000-0000-000006000000}">
      <formula1>OC_JT</formula1>
    </dataValidation>
    <dataValidation type="list" allowBlank="1" showInputMessage="1" showErrorMessage="1" sqref="D14" xr:uid="{00000000-0002-0000-0000-000007000000}">
      <formula1>OC_MPTM</formula1>
    </dataValidation>
    <dataValidation type="list" allowBlank="1" showInputMessage="1" showErrorMessage="1" sqref="D21" xr:uid="{00000000-0002-0000-0000-000008000000}">
      <formula1>OC_DK</formula1>
    </dataValidation>
    <dataValidation type="list" allowBlank="1" showInputMessage="1" showErrorMessage="1" sqref="D15" xr:uid="{00000000-0002-0000-0000-000009000000}">
      <formula1>OC_N</formula1>
    </dataValidation>
    <dataValidation type="list" allowBlank="1" showInputMessage="1" showErrorMessage="1" sqref="D16" xr:uid="{00000000-0002-0000-0000-00000A000000}">
      <formula1>OC_SVE</formula1>
    </dataValidation>
    <dataValidation type="list" allowBlank="1" showInputMessage="1" showErrorMessage="1" sqref="D17 D21" xr:uid="{00000000-0002-0000-0000-00000B000000}">
      <formula1>OC_DTdPED</formula1>
    </dataValidation>
    <dataValidation type="list" allowBlank="1" showInputMessage="1" showErrorMessage="1" sqref="D23" xr:uid="{00000000-0002-0000-0000-00000C000000}">
      <formula1>OC_DM</formula1>
    </dataValidation>
    <dataValidation type="list" allowBlank="1" showInputMessage="1" showErrorMessage="1" sqref="D24" xr:uid="{00000000-0002-0000-0000-00000D000000}">
      <formula1>OC_NM</formula1>
    </dataValidation>
    <dataValidation type="list" allowBlank="1" showInputMessage="1" showErrorMessage="1" sqref="D26" xr:uid="{00000000-0002-0000-0000-00000E000000}">
      <formula1>OC_JIC</formula1>
    </dataValidation>
    <dataValidation type="list" allowBlank="1" showInputMessage="1" showErrorMessage="1" sqref="D25" xr:uid="{00000000-0002-0000-0000-00000F000000}">
      <formula1>OC_IC</formula1>
    </dataValidation>
    <dataValidation type="list" allowBlank="1" showInputMessage="1" showErrorMessage="1" sqref="D28" xr:uid="{00000000-0002-0000-0000-000010000000}">
      <formula1>OC_PV</formula1>
    </dataValidation>
    <dataValidation type="list" allowBlank="1" showInputMessage="1" showErrorMessage="1" sqref="D29" xr:uid="{00000000-0002-0000-0000-000011000000}">
      <formula1>OC_BV</formula1>
    </dataValidation>
    <dataValidation type="list" allowBlank="1" showInputMessage="1" showErrorMessage="1" sqref="D27" xr:uid="{00000000-0002-0000-0000-000012000000}">
      <formula1>OC_FV</formula1>
    </dataValidation>
    <dataValidation type="list" allowBlank="1" showInputMessage="1" showErrorMessage="1" sqref="D32" xr:uid="{00000000-0002-0000-0000-000013000000}">
      <formula1>OC_JO</formula1>
    </dataValidation>
    <dataValidation type="list" allowBlank="1" showInputMessage="1" showErrorMessage="1" sqref="D33" xr:uid="{00000000-0002-0000-0000-000014000000}">
      <formula1>OC_JOP</formula1>
    </dataValidation>
    <dataValidation type="list" allowBlank="1" showInputMessage="1" showErrorMessage="1" sqref="D38" xr:uid="{00000000-0002-0000-0000-000015000000}">
      <formula1>OC_ZJ</formula1>
    </dataValidation>
    <dataValidation type="list" allowBlank="1" showInputMessage="1" showErrorMessage="1" sqref="D40" xr:uid="{00000000-0002-0000-0000-000016000000}">
      <formula1>OC_R</formula1>
    </dataValidation>
    <dataValidation type="list" allowBlank="1" showInputMessage="1" showErrorMessage="1" sqref="D44" xr:uid="{00000000-0002-0000-0000-000017000000}">
      <formula1>OC_P</formula1>
    </dataValidation>
    <dataValidation type="whole" allowBlank="1" showInputMessage="1" showErrorMessage="1" errorTitle="CHYBA" error="Číslo musí být v rozsahu 1 až 255." sqref="D41:D42" xr:uid="{00000000-0002-0000-0000-000018000000}">
      <formula1>1</formula1>
      <formula2>255</formula2>
    </dataValidation>
    <dataValidation type="list" allowBlank="1" showInputMessage="1" showErrorMessage="1" sqref="D46" xr:uid="{00000000-0002-0000-0000-000019000000}">
      <formula1>OC_MP</formula1>
    </dataValidation>
    <dataValidation type="list" allowBlank="1" showInputMessage="1" showErrorMessage="1" sqref="D50" xr:uid="{00000000-0002-0000-0000-00001A000000}">
      <formula1>OC_ZP</formula1>
    </dataValidation>
    <dataValidation type="list" allowBlank="1" showInputMessage="1" showErrorMessage="1" sqref="D51" xr:uid="{00000000-0002-0000-0000-00001B000000}">
      <formula1>OC_Z</formula1>
    </dataValidation>
    <dataValidation type="list" allowBlank="1" showInputMessage="1" showErrorMessage="1" sqref="D18" xr:uid="{00000000-0002-0000-0000-00001C000000}">
      <formula1>OC_KdPED</formula1>
    </dataValidation>
    <dataValidation type="list" allowBlank="1" showInputMessage="1" showErrorMessage="1" sqref="D20" xr:uid="{00000000-0002-0000-0000-00001D000000}">
      <formula1>OC_UMT</formula1>
    </dataValidation>
    <dataValidation type="list" allowBlank="1" showInputMessage="1" showErrorMessage="1" sqref="D49" xr:uid="{00000000-0002-0000-0000-00001E000000}">
      <formula1>OC_B</formula1>
    </dataValidation>
    <dataValidation type="whole" allowBlank="1" showInputMessage="1" showErrorMessage="1" sqref="D48" xr:uid="{00000000-0002-0000-0000-00001F000000}">
      <formula1>0</formula1>
      <formula2>999</formula2>
    </dataValidation>
    <dataValidation type="list" allowBlank="1" showInputMessage="1" showErrorMessage="1" sqref="D11" xr:uid="{00000000-0002-0000-0000-000020000000}">
      <formula1>OC_KCsS</formula1>
    </dataValidation>
    <dataValidation type="list" allowBlank="1" showInputMessage="1" showErrorMessage="1" sqref="D13" xr:uid="{00000000-0002-0000-0000-000021000000}">
      <formula1>OC_MVP</formula1>
    </dataValidation>
    <dataValidation type="list" allowBlank="1" showInputMessage="1" showErrorMessage="1" sqref="D19" xr:uid="{00000000-0002-0000-0000-000022000000}">
      <formula1>OC_MT</formula1>
    </dataValidation>
    <dataValidation type="list" allowBlank="1" showInputMessage="1" showErrorMessage="1" sqref="D25" xr:uid="{00000000-0002-0000-0000-000023000000}">
      <formula1>OC_JZP</formula1>
    </dataValidation>
    <dataValidation type="list" allowBlank="1" showInputMessage="1" showErrorMessage="1" sqref="D34" xr:uid="{00000000-0002-0000-0000-000024000000}">
      <formula1>OC_JH</formula1>
    </dataValidation>
    <dataValidation type="list" allowBlank="1" showInputMessage="1" showErrorMessage="1" sqref="D35" xr:uid="{00000000-0002-0000-0000-000025000000}">
      <formula1>OC_JHP</formula1>
    </dataValidation>
    <dataValidation type="list" allowBlank="1" showInputMessage="1" showErrorMessage="1" sqref="D36" xr:uid="{00000000-0002-0000-0000-000026000000}">
      <formula1>OC_JTep</formula1>
    </dataValidation>
    <dataValidation type="list" allowBlank="1" showInputMessage="1" showErrorMessage="1" sqref="D37" xr:uid="{00000000-0002-0000-0000-000027000000}">
      <formula1>OC_JR</formula1>
    </dataValidation>
  </dataValidations>
  <pageMargins left="0.62992125984251968" right="0.23622047244094491" top="0.74803149606299213" bottom="0.74803149606299213" header="0.31496062992125984" footer="0.31496062992125984"/>
  <pageSetup paperSize="9" scale="88" fitToHeight="0" orientation="portrait" r:id="rId1"/>
  <headerFooter>
    <oddFooter>&amp;L&amp;"-,Kurzíva"&amp;10Tisk dne: &amp;D&amp;C&amp;"-,Kurzíva"&amp;10&amp;F&amp;R&amp;"-,Kurzíva"&amp;10&amp;P / &amp;N</oddFooter>
  </headerFooter>
  <ignoredErrors>
    <ignoredError sqref="H33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10"/>
  <sheetViews>
    <sheetView zoomScaleNormal="100" workbookViewId="0">
      <pane ySplit="1" topLeftCell="A5" activePane="bottomLeft" state="frozen"/>
      <selection pane="bottomLeft" activeCell="D29" sqref="D29"/>
    </sheetView>
  </sheetViews>
  <sheetFormatPr defaultRowHeight="15" x14ac:dyDescent="0.25"/>
  <cols>
    <col min="1" max="1" width="56.5703125" customWidth="1"/>
    <col min="3" max="3" width="18" customWidth="1"/>
    <col min="4" max="4" width="31.5703125" customWidth="1"/>
  </cols>
  <sheetData>
    <row r="1" spans="1:4" x14ac:dyDescent="0.25">
      <c r="A1" s="8" t="s">
        <v>1</v>
      </c>
      <c r="B1" s="86" t="s">
        <v>111</v>
      </c>
      <c r="C1" s="144" t="s">
        <v>285</v>
      </c>
      <c r="D1" s="171" t="s">
        <v>362</v>
      </c>
    </row>
    <row r="2" spans="1:4" x14ac:dyDescent="0.25">
      <c r="A2" s="135" t="s">
        <v>325</v>
      </c>
      <c r="B2" s="127">
        <v>1</v>
      </c>
      <c r="C2" s="140" t="s">
        <v>327</v>
      </c>
      <c r="D2" s="169"/>
    </row>
    <row r="3" spans="1:4" x14ac:dyDescent="0.25">
      <c r="A3" s="135" t="s">
        <v>199</v>
      </c>
      <c r="B3" s="127">
        <v>2</v>
      </c>
      <c r="C3" s="140" t="s">
        <v>328</v>
      </c>
      <c r="D3" s="169"/>
    </row>
    <row r="4" spans="1:4" x14ac:dyDescent="0.25">
      <c r="A4" s="135" t="s">
        <v>200</v>
      </c>
      <c r="B4" s="127">
        <v>4</v>
      </c>
      <c r="C4" s="156" t="s">
        <v>283</v>
      </c>
      <c r="D4" s="169"/>
    </row>
    <row r="5" spans="1:4" x14ac:dyDescent="0.25">
      <c r="A5" s="135" t="s">
        <v>326</v>
      </c>
      <c r="B5" s="127">
        <v>6</v>
      </c>
      <c r="C5" s="156" t="s">
        <v>284</v>
      </c>
      <c r="D5" s="170"/>
    </row>
    <row r="6" spans="1:4" x14ac:dyDescent="0.25">
      <c r="A6" s="8" t="s">
        <v>26</v>
      </c>
      <c r="B6" s="128"/>
      <c r="C6" s="141"/>
      <c r="D6" s="170"/>
    </row>
    <row r="7" spans="1:4" x14ac:dyDescent="0.25">
      <c r="A7" s="9" t="s">
        <v>348</v>
      </c>
      <c r="B7" s="129" t="s">
        <v>36</v>
      </c>
      <c r="C7" s="141"/>
      <c r="D7" s="170"/>
    </row>
    <row r="8" spans="1:4" x14ac:dyDescent="0.25">
      <c r="A8" s="9" t="s">
        <v>349</v>
      </c>
      <c r="B8" s="129" t="s">
        <v>39</v>
      </c>
      <c r="C8" s="141"/>
      <c r="D8" s="170"/>
    </row>
    <row r="9" spans="1:4" x14ac:dyDescent="0.25">
      <c r="A9" s="9" t="s">
        <v>350</v>
      </c>
      <c r="B9" s="129" t="s">
        <v>41</v>
      </c>
      <c r="C9" s="141"/>
      <c r="D9" s="170"/>
    </row>
    <row r="10" spans="1:4" ht="18" x14ac:dyDescent="0.25">
      <c r="A10" s="8" t="s">
        <v>295</v>
      </c>
      <c r="B10" s="128"/>
      <c r="C10" s="141"/>
      <c r="D10" s="170"/>
    </row>
    <row r="11" spans="1:4" x14ac:dyDescent="0.25">
      <c r="A11" s="9" t="s">
        <v>296</v>
      </c>
      <c r="B11" s="129" t="s">
        <v>6</v>
      </c>
      <c r="C11" s="141"/>
      <c r="D11" s="170"/>
    </row>
    <row r="12" spans="1:4" x14ac:dyDescent="0.25">
      <c r="A12" s="9" t="s">
        <v>297</v>
      </c>
      <c r="B12" s="129" t="s">
        <v>7</v>
      </c>
      <c r="C12" s="141"/>
      <c r="D12" s="170"/>
    </row>
    <row r="13" spans="1:4" x14ac:dyDescent="0.25">
      <c r="A13" s="9" t="s">
        <v>298</v>
      </c>
      <c r="B13" s="129" t="s">
        <v>8</v>
      </c>
      <c r="C13" s="141"/>
      <c r="D13" s="170"/>
    </row>
    <row r="14" spans="1:4" x14ac:dyDescent="0.25">
      <c r="A14" s="9" t="s">
        <v>299</v>
      </c>
      <c r="B14" s="129" t="s">
        <v>9</v>
      </c>
      <c r="C14" s="141"/>
      <c r="D14" s="170"/>
    </row>
    <row r="15" spans="1:4" x14ac:dyDescent="0.25">
      <c r="A15" s="9" t="s">
        <v>300</v>
      </c>
      <c r="B15" s="129" t="s">
        <v>10</v>
      </c>
      <c r="C15" s="141"/>
      <c r="D15" s="170"/>
    </row>
    <row r="16" spans="1:4" x14ac:dyDescent="0.25">
      <c r="A16" s="9" t="s">
        <v>301</v>
      </c>
      <c r="B16" s="129" t="s">
        <v>11</v>
      </c>
      <c r="C16" s="141"/>
      <c r="D16" s="170"/>
    </row>
    <row r="17" spans="1:4" x14ac:dyDescent="0.25">
      <c r="A17" s="9" t="s">
        <v>302</v>
      </c>
      <c r="B17" s="129" t="s">
        <v>12</v>
      </c>
      <c r="C17" s="141"/>
      <c r="D17" s="170"/>
    </row>
    <row r="18" spans="1:4" x14ac:dyDescent="0.25">
      <c r="A18" s="9" t="s">
        <v>303</v>
      </c>
      <c r="B18" s="129" t="s">
        <v>13</v>
      </c>
      <c r="C18" s="141"/>
      <c r="D18" s="170"/>
    </row>
    <row r="19" spans="1:4" x14ac:dyDescent="0.25">
      <c r="A19" s="123" t="str">
        <f>IF(OR(Specifikace!$E$5=1,Specifikace!$E$5=2),"DN200 ~ 1 000 m³/h",IF(OR(Specifikace!$E$5=4,Specifikace!$E$5=6),"DN200 ~ 900 m³/h","Variantní hodnota - nejprve zadejte Provedení měřicího čidla"))</f>
        <v>Variantní hodnota - nejprve zadejte Provedení měřicího čidla</v>
      </c>
      <c r="B19" s="129" t="s">
        <v>14</v>
      </c>
      <c r="C19" s="141"/>
      <c r="D19" s="170"/>
    </row>
    <row r="20" spans="1:4" x14ac:dyDescent="0.25">
      <c r="A20" s="123" t="str">
        <f>IF(OR(Specifikace!$E$5=1,Specifikace!$E$5=2),"DN250 ~ 1 200 m³/h",IF(OR(Specifikace!$E$5=4,Specifikace!$E$5=6),"DN250 ~ 1 400 m³/h","Variantní hodnota - nejprve zadejte Provedení měřicího čidla"))</f>
        <v>Variantní hodnota - nejprve zadejte Provedení měřicího čidla</v>
      </c>
      <c r="B20" s="129" t="s">
        <v>15</v>
      </c>
      <c r="C20" s="141"/>
      <c r="D20" s="170"/>
    </row>
    <row r="21" spans="1:4" x14ac:dyDescent="0.25">
      <c r="A21" s="123" t="str">
        <f>IF(OR(Specifikace!$E$5=1,Specifikace!$E$5=2),"DN300 ~ 1 500 m³/h",IF(OR(Specifikace!$E$5=4,Specifikace!$E$5=6),"DN300 ~ 2 000 m³/h","Variantní hodnota - nejprve zadejte Provedení měřicího čidla"))</f>
        <v>Variantní hodnota - nejprve zadejte Provedení měřicího čidla</v>
      </c>
      <c r="B21" s="129" t="s">
        <v>16</v>
      </c>
      <c r="C21" s="141"/>
      <c r="D21" s="170"/>
    </row>
    <row r="22" spans="1:4" x14ac:dyDescent="0.25">
      <c r="A22" s="9" t="s">
        <v>304</v>
      </c>
      <c r="B22" s="129" t="s">
        <v>17</v>
      </c>
      <c r="C22" s="141"/>
      <c r="D22" s="170"/>
    </row>
    <row r="23" spans="1:4" x14ac:dyDescent="0.25">
      <c r="A23" s="9" t="s">
        <v>305</v>
      </c>
      <c r="B23" s="129" t="s">
        <v>18</v>
      </c>
      <c r="C23" s="141"/>
      <c r="D23" s="170"/>
    </row>
    <row r="24" spans="1:4" x14ac:dyDescent="0.25">
      <c r="A24" s="9" t="s">
        <v>306</v>
      </c>
      <c r="B24" s="129" t="s">
        <v>19</v>
      </c>
      <c r="C24" s="141"/>
      <c r="D24" s="170"/>
    </row>
    <row r="25" spans="1:4" x14ac:dyDescent="0.25">
      <c r="A25" s="9" t="s">
        <v>307</v>
      </c>
      <c r="B25" s="129" t="s">
        <v>20</v>
      </c>
      <c r="C25" s="141"/>
      <c r="D25" s="170"/>
    </row>
    <row r="26" spans="1:4" x14ac:dyDescent="0.25">
      <c r="A26" s="9" t="s">
        <v>308</v>
      </c>
      <c r="B26" s="129" t="s">
        <v>21</v>
      </c>
      <c r="C26" s="141"/>
      <c r="D26" s="170"/>
    </row>
    <row r="27" spans="1:4" x14ac:dyDescent="0.25">
      <c r="A27" s="172" t="s">
        <v>309</v>
      </c>
      <c r="B27" s="129" t="s">
        <v>195</v>
      </c>
      <c r="C27" s="141"/>
      <c r="D27" s="170"/>
    </row>
    <row r="28" spans="1:4" x14ac:dyDescent="0.25">
      <c r="A28" s="9" t="s">
        <v>310</v>
      </c>
      <c r="B28" s="129" t="s">
        <v>196</v>
      </c>
      <c r="C28" s="141"/>
      <c r="D28" s="170"/>
    </row>
    <row r="29" spans="1:4" x14ac:dyDescent="0.25">
      <c r="A29" s="175" t="s">
        <v>377</v>
      </c>
      <c r="B29" s="129" t="s">
        <v>197</v>
      </c>
      <c r="C29" s="141"/>
      <c r="D29" s="176" t="s">
        <v>379</v>
      </c>
    </row>
    <row r="30" spans="1:4" x14ac:dyDescent="0.25">
      <c r="A30" s="9" t="s">
        <v>311</v>
      </c>
      <c r="B30" s="129" t="s">
        <v>198</v>
      </c>
      <c r="C30" s="141"/>
      <c r="D30" s="170"/>
    </row>
    <row r="31" spans="1:4" x14ac:dyDescent="0.25">
      <c r="A31" s="9" t="s">
        <v>312</v>
      </c>
      <c r="B31" s="129" t="s">
        <v>378</v>
      </c>
      <c r="C31" s="141"/>
      <c r="D31" s="170"/>
    </row>
    <row r="32" spans="1:4" x14ac:dyDescent="0.25">
      <c r="A32" s="9" t="s">
        <v>22</v>
      </c>
      <c r="B32" s="129" t="s">
        <v>264</v>
      </c>
      <c r="C32" s="141"/>
      <c r="D32" s="170"/>
    </row>
    <row r="33" spans="1:4" x14ac:dyDescent="0.25">
      <c r="A33" s="8" t="s">
        <v>25</v>
      </c>
      <c r="B33" s="1"/>
      <c r="C33" s="141"/>
      <c r="D33" s="170"/>
    </row>
    <row r="34" spans="1:4" x14ac:dyDescent="0.25">
      <c r="A34" s="9" t="s">
        <v>3</v>
      </c>
      <c r="B34" s="129">
        <v>1</v>
      </c>
      <c r="C34" s="141"/>
      <c r="D34" s="170"/>
    </row>
    <row r="35" spans="1:4" x14ac:dyDescent="0.25">
      <c r="A35" s="9" t="s">
        <v>375</v>
      </c>
      <c r="B35" s="129">
        <v>2</v>
      </c>
      <c r="C35" s="141"/>
      <c r="D35" s="170"/>
    </row>
    <row r="36" spans="1:4" x14ac:dyDescent="0.25">
      <c r="A36" s="135" t="s">
        <v>374</v>
      </c>
      <c r="B36" s="129">
        <v>3</v>
      </c>
      <c r="C36" s="141"/>
      <c r="D36" s="170"/>
    </row>
    <row r="37" spans="1:4" x14ac:dyDescent="0.25">
      <c r="A37" s="135" t="s">
        <v>376</v>
      </c>
      <c r="B37" s="129">
        <v>4</v>
      </c>
      <c r="C37" s="141"/>
      <c r="D37" s="170"/>
    </row>
    <row r="38" spans="1:4" x14ac:dyDescent="0.25">
      <c r="A38" s="9" t="s">
        <v>123</v>
      </c>
      <c r="B38" s="129">
        <v>5</v>
      </c>
      <c r="C38" s="141"/>
      <c r="D38" s="170"/>
    </row>
    <row r="39" spans="1:4" x14ac:dyDescent="0.25">
      <c r="A39" s="9" t="s">
        <v>4</v>
      </c>
      <c r="B39" s="129">
        <v>6</v>
      </c>
      <c r="C39" s="141"/>
      <c r="D39" s="170"/>
    </row>
    <row r="40" spans="1:4" x14ac:dyDescent="0.25">
      <c r="A40" s="9" t="s">
        <v>22</v>
      </c>
      <c r="B40" s="129" t="s">
        <v>265</v>
      </c>
      <c r="C40" s="141"/>
      <c r="D40" s="170"/>
    </row>
    <row r="41" spans="1:4" x14ac:dyDescent="0.25">
      <c r="A41" s="8" t="s">
        <v>27</v>
      </c>
      <c r="B41" s="1"/>
      <c r="C41" s="141"/>
      <c r="D41" s="170"/>
    </row>
    <row r="42" spans="1:4" ht="30" x14ac:dyDescent="0.25">
      <c r="A42" s="10" t="s">
        <v>215</v>
      </c>
      <c r="B42" s="129">
        <v>1</v>
      </c>
      <c r="C42" s="142"/>
      <c r="D42" s="170"/>
    </row>
    <row r="43" spans="1:4" ht="45" x14ac:dyDescent="0.25">
      <c r="A43" s="125" t="s">
        <v>216</v>
      </c>
      <c r="B43" s="130">
        <v>2</v>
      </c>
      <c r="C43" s="142"/>
      <c r="D43" s="170"/>
    </row>
    <row r="44" spans="1:4" ht="45" x14ac:dyDescent="0.25">
      <c r="A44" s="155" t="s">
        <v>226</v>
      </c>
      <c r="B44" s="130">
        <v>3</v>
      </c>
      <c r="C44" s="142"/>
      <c r="D44" s="170"/>
    </row>
    <row r="45" spans="1:4" x14ac:dyDescent="0.25">
      <c r="A45" s="135" t="s">
        <v>28</v>
      </c>
      <c r="B45" s="136">
        <v>4</v>
      </c>
      <c r="C45" s="142"/>
      <c r="D45" s="170"/>
    </row>
    <row r="46" spans="1:4" x14ac:dyDescent="0.25">
      <c r="A46" s="135" t="s">
        <v>22</v>
      </c>
      <c r="B46" s="129" t="s">
        <v>265</v>
      </c>
      <c r="C46" s="142"/>
      <c r="D46" s="170"/>
    </row>
    <row r="47" spans="1:4" x14ac:dyDescent="0.25">
      <c r="A47" s="124" t="s">
        <v>230</v>
      </c>
      <c r="B47" s="129"/>
      <c r="C47" s="142"/>
      <c r="D47" s="170"/>
    </row>
    <row r="48" spans="1:4" x14ac:dyDescent="0.25">
      <c r="A48" s="123" t="str">
        <f>IF(OR(Specifikace!$E$5=1,Specifikace!$E$5=2),"Standardní (IP54)",IF(OR(Specifikace!$E$5=4,Specifikace!$E$5=6),"Standardní (IP67)","Variantní hodnota - nejprve zadejte Provedení měřicího čidla"))</f>
        <v>Variantní hodnota - nejprve zadejte Provedení měřicího čidla</v>
      </c>
      <c r="B48" s="131">
        <v>1</v>
      </c>
      <c r="C48" s="142"/>
      <c r="D48" s="170"/>
    </row>
    <row r="49" spans="1:4" x14ac:dyDescent="0.25">
      <c r="A49" s="9" t="s">
        <v>231</v>
      </c>
      <c r="B49" s="131">
        <v>2</v>
      </c>
      <c r="C49" s="142"/>
      <c r="D49" s="170"/>
    </row>
    <row r="50" spans="1:4" x14ac:dyDescent="0.25">
      <c r="A50" s="8" t="s">
        <v>30</v>
      </c>
      <c r="B50" s="129"/>
      <c r="C50" s="142"/>
      <c r="D50" s="170"/>
    </row>
    <row r="51" spans="1:4" x14ac:dyDescent="0.25">
      <c r="A51" s="9" t="s">
        <v>83</v>
      </c>
      <c r="B51" s="129">
        <v>1</v>
      </c>
      <c r="C51" s="142"/>
      <c r="D51" s="170"/>
    </row>
    <row r="52" spans="1:4" x14ac:dyDescent="0.25">
      <c r="A52" s="9" t="s">
        <v>84</v>
      </c>
      <c r="B52" s="129">
        <v>2</v>
      </c>
      <c r="C52" s="142"/>
      <c r="D52" s="170"/>
    </row>
    <row r="53" spans="1:4" x14ac:dyDescent="0.25">
      <c r="A53" s="135" t="s">
        <v>351</v>
      </c>
      <c r="B53" s="129">
        <v>3</v>
      </c>
      <c r="C53" s="142"/>
      <c r="D53" s="170"/>
    </row>
    <row r="54" spans="1:4" x14ac:dyDescent="0.25">
      <c r="A54" s="9" t="s">
        <v>214</v>
      </c>
      <c r="B54" s="129">
        <v>4</v>
      </c>
      <c r="C54" s="142"/>
      <c r="D54" s="170"/>
    </row>
    <row r="55" spans="1:4" x14ac:dyDescent="0.25">
      <c r="A55" s="135" t="s">
        <v>352</v>
      </c>
      <c r="B55" s="129">
        <v>5</v>
      </c>
      <c r="C55" s="142"/>
      <c r="D55" s="170"/>
    </row>
    <row r="56" spans="1:4" x14ac:dyDescent="0.25">
      <c r="A56" s="9" t="s">
        <v>22</v>
      </c>
      <c r="B56" s="129" t="s">
        <v>265</v>
      </c>
      <c r="C56" s="142"/>
      <c r="D56" s="170"/>
    </row>
    <row r="57" spans="1:4" x14ac:dyDescent="0.25">
      <c r="A57" s="124" t="s">
        <v>257</v>
      </c>
      <c r="B57" s="129"/>
      <c r="C57" s="142"/>
      <c r="D57" s="170"/>
    </row>
    <row r="58" spans="1:4" x14ac:dyDescent="0.25">
      <c r="A58" s="9" t="s">
        <v>223</v>
      </c>
      <c r="B58" s="129" t="s">
        <v>31</v>
      </c>
      <c r="C58" s="142"/>
      <c r="D58" s="170"/>
    </row>
    <row r="59" spans="1:4" x14ac:dyDescent="0.25">
      <c r="A59" s="9" t="s">
        <v>227</v>
      </c>
      <c r="B59" s="129" t="s">
        <v>265</v>
      </c>
      <c r="C59" s="142"/>
      <c r="D59" s="170"/>
    </row>
    <row r="60" spans="1:4" x14ac:dyDescent="0.25">
      <c r="A60" s="124" t="s">
        <v>278</v>
      </c>
      <c r="B60" s="1"/>
      <c r="C60" s="142"/>
      <c r="D60" s="170"/>
    </row>
    <row r="61" spans="1:4" x14ac:dyDescent="0.25">
      <c r="A61" s="11" t="s">
        <v>77</v>
      </c>
      <c r="B61" s="129">
        <v>1</v>
      </c>
      <c r="C61" s="142"/>
      <c r="D61" s="170"/>
    </row>
    <row r="62" spans="1:4" x14ac:dyDescent="0.25">
      <c r="A62" s="11" t="s">
        <v>79</v>
      </c>
      <c r="B62" s="129">
        <v>2</v>
      </c>
      <c r="C62" s="142"/>
      <c r="D62" s="170"/>
    </row>
    <row r="63" spans="1:4" x14ac:dyDescent="0.25">
      <c r="A63" s="11" t="s">
        <v>115</v>
      </c>
      <c r="B63" s="129">
        <v>3</v>
      </c>
      <c r="C63" s="142"/>
      <c r="D63" s="170"/>
    </row>
    <row r="64" spans="1:4" x14ac:dyDescent="0.25">
      <c r="A64" s="11" t="s">
        <v>78</v>
      </c>
      <c r="B64" s="129">
        <v>4</v>
      </c>
      <c r="C64" s="142"/>
      <c r="D64" s="170"/>
    </row>
    <row r="65" spans="1:4" x14ac:dyDescent="0.25">
      <c r="A65" s="11" t="s">
        <v>80</v>
      </c>
      <c r="B65" s="129">
        <v>5</v>
      </c>
      <c r="C65" s="142"/>
      <c r="D65" s="170"/>
    </row>
    <row r="66" spans="1:4" x14ac:dyDescent="0.25">
      <c r="A66" s="11" t="s">
        <v>124</v>
      </c>
      <c r="B66" s="129">
        <v>6</v>
      </c>
      <c r="C66" s="142"/>
      <c r="D66" s="170"/>
    </row>
    <row r="67" spans="1:4" x14ac:dyDescent="0.25">
      <c r="A67" s="9" t="s">
        <v>22</v>
      </c>
      <c r="B67" s="129" t="s">
        <v>265</v>
      </c>
      <c r="C67" s="142"/>
      <c r="D67" s="170"/>
    </row>
    <row r="68" spans="1:4" x14ac:dyDescent="0.25">
      <c r="A68" s="8" t="s">
        <v>32</v>
      </c>
      <c r="B68" s="1"/>
      <c r="C68" s="142"/>
      <c r="D68" s="170"/>
    </row>
    <row r="69" spans="1:4" x14ac:dyDescent="0.25">
      <c r="A69" s="15" t="s">
        <v>320</v>
      </c>
      <c r="B69" s="131" t="s">
        <v>36</v>
      </c>
      <c r="C69" s="142"/>
      <c r="D69" s="170"/>
    </row>
    <row r="70" spans="1:4" x14ac:dyDescent="0.25">
      <c r="A70" s="15" t="s">
        <v>321</v>
      </c>
      <c r="B70" s="131" t="s">
        <v>37</v>
      </c>
      <c r="C70" s="142"/>
      <c r="D70" s="170"/>
    </row>
    <row r="71" spans="1:4" x14ac:dyDescent="0.25">
      <c r="A71" s="15" t="s">
        <v>217</v>
      </c>
      <c r="B71" s="129" t="s">
        <v>39</v>
      </c>
      <c r="C71" s="142"/>
      <c r="D71" s="170"/>
    </row>
    <row r="72" spans="1:4" x14ac:dyDescent="0.25">
      <c r="A72" s="124" t="s">
        <v>258</v>
      </c>
      <c r="B72" s="1"/>
      <c r="C72" s="142"/>
      <c r="D72" s="170"/>
    </row>
    <row r="73" spans="1:4" x14ac:dyDescent="0.25">
      <c r="A73" s="15" t="s">
        <v>313</v>
      </c>
      <c r="B73" s="131" t="s">
        <v>36</v>
      </c>
      <c r="C73" s="142"/>
      <c r="D73" s="170"/>
    </row>
    <row r="74" spans="1:4" x14ac:dyDescent="0.25">
      <c r="A74" s="11" t="s">
        <v>228</v>
      </c>
      <c r="B74" s="129" t="s">
        <v>37</v>
      </c>
      <c r="C74" s="142"/>
      <c r="D74" s="170"/>
    </row>
    <row r="75" spans="1:4" x14ac:dyDescent="0.25">
      <c r="A75" s="124" t="s">
        <v>90</v>
      </c>
      <c r="B75" s="132"/>
      <c r="C75" s="159"/>
      <c r="D75" s="170"/>
    </row>
    <row r="76" spans="1:4" x14ac:dyDescent="0.25">
      <c r="A76" s="15" t="s">
        <v>85</v>
      </c>
      <c r="B76" s="131" t="s">
        <v>31</v>
      </c>
      <c r="C76" s="142"/>
      <c r="D76" s="170"/>
    </row>
    <row r="77" spans="1:4" x14ac:dyDescent="0.25">
      <c r="A77" s="15" t="s">
        <v>86</v>
      </c>
      <c r="B77" s="131">
        <v>1</v>
      </c>
      <c r="C77" s="159"/>
      <c r="D77" s="170"/>
    </row>
    <row r="78" spans="1:4" x14ac:dyDescent="0.25">
      <c r="A78" s="15" t="s">
        <v>87</v>
      </c>
      <c r="B78" s="131">
        <v>2</v>
      </c>
      <c r="C78" s="159"/>
      <c r="D78" s="170"/>
    </row>
    <row r="79" spans="1:4" x14ac:dyDescent="0.25">
      <c r="A79" s="15" t="s">
        <v>88</v>
      </c>
      <c r="B79" s="131">
        <v>3</v>
      </c>
      <c r="C79" s="159"/>
      <c r="D79" s="170"/>
    </row>
    <row r="80" spans="1:4" x14ac:dyDescent="0.25">
      <c r="A80" s="15" t="s">
        <v>89</v>
      </c>
      <c r="B80" s="131">
        <v>4</v>
      </c>
      <c r="C80" s="159"/>
      <c r="D80" s="170"/>
    </row>
    <row r="81" spans="1:4" x14ac:dyDescent="0.25">
      <c r="A81" s="15" t="s">
        <v>22</v>
      </c>
      <c r="B81" s="131" t="s">
        <v>265</v>
      </c>
      <c r="C81" s="142"/>
      <c r="D81" s="170"/>
    </row>
    <row r="82" spans="1:4" x14ac:dyDescent="0.25">
      <c r="A82" s="124" t="s">
        <v>91</v>
      </c>
      <c r="B82" s="131"/>
      <c r="C82" s="159"/>
      <c r="D82" s="170"/>
    </row>
    <row r="83" spans="1:4" x14ac:dyDescent="0.25">
      <c r="A83" s="126" t="s">
        <v>85</v>
      </c>
      <c r="B83" s="131" t="s">
        <v>31</v>
      </c>
      <c r="C83" s="142"/>
      <c r="D83" s="170"/>
    </row>
    <row r="84" spans="1:4" x14ac:dyDescent="0.25">
      <c r="A84" s="15" t="s">
        <v>93</v>
      </c>
      <c r="B84" s="131">
        <v>1</v>
      </c>
      <c r="C84" s="159"/>
      <c r="D84" s="170"/>
    </row>
    <row r="85" spans="1:4" x14ac:dyDescent="0.25">
      <c r="A85" s="15" t="s">
        <v>94</v>
      </c>
      <c r="B85" s="131">
        <v>2</v>
      </c>
      <c r="C85" s="159"/>
      <c r="D85" s="170"/>
    </row>
    <row r="86" spans="1:4" x14ac:dyDescent="0.25">
      <c r="A86" s="15" t="s">
        <v>95</v>
      </c>
      <c r="B86" s="131">
        <v>3</v>
      </c>
      <c r="C86" s="159"/>
      <c r="D86" s="170"/>
    </row>
    <row r="87" spans="1:4" x14ac:dyDescent="0.25">
      <c r="A87" s="15" t="s">
        <v>96</v>
      </c>
      <c r="B87" s="131">
        <v>4</v>
      </c>
      <c r="C87" s="159"/>
      <c r="D87" s="170"/>
    </row>
    <row r="88" spans="1:4" x14ac:dyDescent="0.25">
      <c r="A88" s="8" t="s">
        <v>260</v>
      </c>
      <c r="B88" s="133"/>
      <c r="C88" s="142"/>
      <c r="D88" s="170"/>
    </row>
    <row r="89" spans="1:4" x14ac:dyDescent="0.25">
      <c r="A89" s="9" t="s">
        <v>142</v>
      </c>
      <c r="B89" s="129" t="s">
        <v>6</v>
      </c>
      <c r="C89" s="142"/>
      <c r="D89" s="170"/>
    </row>
    <row r="90" spans="1:4" x14ac:dyDescent="0.25">
      <c r="A90" s="9" t="s">
        <v>201</v>
      </c>
      <c r="B90" s="129" t="s">
        <v>7</v>
      </c>
      <c r="C90" s="142"/>
      <c r="D90" s="170"/>
    </row>
    <row r="91" spans="1:4" x14ac:dyDescent="0.25">
      <c r="A91" s="9" t="s">
        <v>202</v>
      </c>
      <c r="B91" s="129" t="s">
        <v>8</v>
      </c>
      <c r="C91" s="142"/>
      <c r="D91" s="170"/>
    </row>
    <row r="92" spans="1:4" x14ac:dyDescent="0.25">
      <c r="A92" s="9" t="s">
        <v>203</v>
      </c>
      <c r="B92" s="129" t="s">
        <v>9</v>
      </c>
      <c r="C92" s="142"/>
      <c r="D92" s="170"/>
    </row>
    <row r="93" spans="1:4" x14ac:dyDescent="0.25">
      <c r="A93" s="9" t="s">
        <v>204</v>
      </c>
      <c r="B93" s="129" t="s">
        <v>10</v>
      </c>
      <c r="C93" s="142"/>
      <c r="D93" s="170"/>
    </row>
    <row r="94" spans="1:4" x14ac:dyDescent="0.25">
      <c r="A94" s="9" t="s">
        <v>205</v>
      </c>
      <c r="B94" s="129" t="s">
        <v>11</v>
      </c>
      <c r="C94" s="142"/>
      <c r="D94" s="170"/>
    </row>
    <row r="95" spans="1:4" x14ac:dyDescent="0.25">
      <c r="A95" s="9" t="s">
        <v>206</v>
      </c>
      <c r="B95" s="129" t="s">
        <v>12</v>
      </c>
      <c r="C95" s="142"/>
      <c r="D95" s="170"/>
    </row>
    <row r="96" spans="1:4" x14ac:dyDescent="0.25">
      <c r="A96" s="9" t="s">
        <v>207</v>
      </c>
      <c r="B96" s="129" t="s">
        <v>13</v>
      </c>
      <c r="C96" s="142"/>
      <c r="D96" s="170"/>
    </row>
    <row r="97" spans="1:4" x14ac:dyDescent="0.25">
      <c r="A97" s="9" t="s">
        <v>208</v>
      </c>
      <c r="B97" s="129" t="s">
        <v>14</v>
      </c>
      <c r="C97" s="142"/>
      <c r="D97" s="170"/>
    </row>
    <row r="98" spans="1:4" x14ac:dyDescent="0.25">
      <c r="A98" s="9" t="s">
        <v>209</v>
      </c>
      <c r="B98" s="129" t="s">
        <v>15</v>
      </c>
      <c r="C98" s="142"/>
      <c r="D98" s="170"/>
    </row>
    <row r="99" spans="1:4" x14ac:dyDescent="0.25">
      <c r="A99" s="9" t="s">
        <v>210</v>
      </c>
      <c r="B99" s="129" t="s">
        <v>16</v>
      </c>
      <c r="C99" s="142"/>
      <c r="D99" s="170"/>
    </row>
    <row r="100" spans="1:4" x14ac:dyDescent="0.25">
      <c r="A100" s="9" t="s">
        <v>211</v>
      </c>
      <c r="B100" s="129" t="s">
        <v>17</v>
      </c>
      <c r="C100" s="142"/>
      <c r="D100" s="170"/>
    </row>
    <row r="101" spans="1:4" x14ac:dyDescent="0.25">
      <c r="A101" s="9" t="s">
        <v>212</v>
      </c>
      <c r="B101" s="129" t="s">
        <v>18</v>
      </c>
      <c r="C101" s="142"/>
      <c r="D101" s="170"/>
    </row>
    <row r="102" spans="1:4" x14ac:dyDescent="0.25">
      <c r="A102" s="9" t="s">
        <v>213</v>
      </c>
      <c r="B102" s="129" t="s">
        <v>19</v>
      </c>
      <c r="C102" s="142"/>
      <c r="D102" s="170"/>
    </row>
    <row r="103" spans="1:4" x14ac:dyDescent="0.25">
      <c r="A103" s="11" t="s">
        <v>269</v>
      </c>
      <c r="B103" s="129" t="s">
        <v>264</v>
      </c>
      <c r="C103" s="142"/>
      <c r="D103" s="170"/>
    </row>
    <row r="104" spans="1:4" x14ac:dyDescent="0.25">
      <c r="A104" s="124" t="s">
        <v>261</v>
      </c>
      <c r="B104" s="132"/>
      <c r="C104" s="142"/>
      <c r="D104" s="170"/>
    </row>
    <row r="105" spans="1:4" x14ac:dyDescent="0.25">
      <c r="A105" s="9" t="s">
        <v>224</v>
      </c>
      <c r="B105" s="131" t="s">
        <v>31</v>
      </c>
      <c r="C105" s="142"/>
      <c r="D105" s="170"/>
    </row>
    <row r="106" spans="1:4" x14ac:dyDescent="0.25">
      <c r="A106" s="9" t="s">
        <v>225</v>
      </c>
      <c r="B106" s="131" t="s">
        <v>265</v>
      </c>
      <c r="C106" s="142"/>
      <c r="D106" s="170"/>
    </row>
    <row r="107" spans="1:4" x14ac:dyDescent="0.25">
      <c r="A107" s="8" t="s">
        <v>92</v>
      </c>
      <c r="B107" s="1"/>
      <c r="C107" s="142"/>
      <c r="D107" s="170"/>
    </row>
    <row r="108" spans="1:4" x14ac:dyDescent="0.25">
      <c r="A108" s="15" t="s">
        <v>363</v>
      </c>
      <c r="B108" s="131" t="s">
        <v>6</v>
      </c>
      <c r="C108" s="142"/>
      <c r="D108" s="170"/>
    </row>
    <row r="109" spans="1:4" x14ac:dyDescent="0.25">
      <c r="A109" s="11" t="s">
        <v>71</v>
      </c>
      <c r="B109" s="131" t="s">
        <v>7</v>
      </c>
      <c r="C109" s="142"/>
      <c r="D109" s="170"/>
    </row>
    <row r="110" spans="1:4" x14ac:dyDescent="0.25">
      <c r="A110" s="11" t="s">
        <v>72</v>
      </c>
      <c r="B110" s="131" t="s">
        <v>8</v>
      </c>
      <c r="C110" s="142"/>
      <c r="D110" s="170"/>
    </row>
    <row r="111" spans="1:4" x14ac:dyDescent="0.25">
      <c r="A111" s="11" t="s">
        <v>73</v>
      </c>
      <c r="B111" s="131" t="s">
        <v>9</v>
      </c>
      <c r="C111" s="142"/>
      <c r="D111" s="170"/>
    </row>
    <row r="112" spans="1:4" x14ac:dyDescent="0.25">
      <c r="A112" s="11" t="s">
        <v>74</v>
      </c>
      <c r="B112" s="131" t="s">
        <v>10</v>
      </c>
      <c r="C112" s="142"/>
      <c r="D112" s="170"/>
    </row>
    <row r="113" spans="1:4" x14ac:dyDescent="0.25">
      <c r="A113" s="11" t="s">
        <v>75</v>
      </c>
      <c r="B113" s="131" t="s">
        <v>11</v>
      </c>
      <c r="C113" s="142"/>
      <c r="D113" s="170"/>
    </row>
    <row r="114" spans="1:4" x14ac:dyDescent="0.25">
      <c r="A114" s="11" t="s">
        <v>76</v>
      </c>
      <c r="B114" s="131" t="s">
        <v>12</v>
      </c>
      <c r="C114" s="142"/>
      <c r="D114" s="170"/>
    </row>
    <row r="115" spans="1:4" x14ac:dyDescent="0.25">
      <c r="A115" s="11" t="s">
        <v>129</v>
      </c>
      <c r="B115" s="131" t="s">
        <v>13</v>
      </c>
      <c r="C115" s="142"/>
      <c r="D115" s="170"/>
    </row>
    <row r="116" spans="1:4" x14ac:dyDescent="0.25">
      <c r="A116" s="11" t="s">
        <v>125</v>
      </c>
      <c r="B116" s="131" t="s">
        <v>14</v>
      </c>
      <c r="C116" s="142"/>
      <c r="D116" s="170"/>
    </row>
    <row r="117" spans="1:4" x14ac:dyDescent="0.25">
      <c r="A117" s="11" t="s">
        <v>126</v>
      </c>
      <c r="B117" s="131" t="s">
        <v>15</v>
      </c>
      <c r="C117" s="142"/>
      <c r="D117" s="170"/>
    </row>
    <row r="118" spans="1:4" x14ac:dyDescent="0.25">
      <c r="A118" s="11" t="s">
        <v>127</v>
      </c>
      <c r="B118" s="131" t="s">
        <v>16</v>
      </c>
      <c r="C118" s="142"/>
      <c r="D118" s="170"/>
    </row>
    <row r="119" spans="1:4" x14ac:dyDescent="0.25">
      <c r="A119" s="11" t="s">
        <v>128</v>
      </c>
      <c r="B119" s="131" t="s">
        <v>17</v>
      </c>
      <c r="C119" s="142"/>
      <c r="D119" s="170"/>
    </row>
    <row r="120" spans="1:4" x14ac:dyDescent="0.25">
      <c r="A120" s="11" t="s">
        <v>22</v>
      </c>
      <c r="B120" s="131" t="s">
        <v>264</v>
      </c>
      <c r="C120" s="142"/>
      <c r="D120" s="170"/>
    </row>
    <row r="121" spans="1:4" x14ac:dyDescent="0.25">
      <c r="A121" s="8" t="s">
        <v>35</v>
      </c>
      <c r="B121" s="1"/>
      <c r="C121" s="142"/>
      <c r="D121" s="170"/>
    </row>
    <row r="122" spans="1:4" x14ac:dyDescent="0.25">
      <c r="A122" s="15" t="s">
        <v>364</v>
      </c>
      <c r="B122" s="129" t="s">
        <v>36</v>
      </c>
      <c r="C122" s="142"/>
      <c r="D122" s="170"/>
    </row>
    <row r="123" spans="1:4" x14ac:dyDescent="0.25">
      <c r="A123" s="11" t="s">
        <v>130</v>
      </c>
      <c r="B123" s="129" t="s">
        <v>37</v>
      </c>
      <c r="C123" s="142"/>
      <c r="D123" s="170"/>
    </row>
    <row r="124" spans="1:4" x14ac:dyDescent="0.25">
      <c r="A124" s="11" t="s">
        <v>131</v>
      </c>
      <c r="B124" s="129" t="s">
        <v>39</v>
      </c>
      <c r="C124" s="142"/>
      <c r="D124" s="170"/>
    </row>
    <row r="125" spans="1:4" x14ac:dyDescent="0.25">
      <c r="A125" s="11" t="s">
        <v>132</v>
      </c>
      <c r="B125" s="129" t="s">
        <v>40</v>
      </c>
      <c r="C125" s="142"/>
      <c r="D125" s="170"/>
    </row>
    <row r="126" spans="1:4" x14ac:dyDescent="0.25">
      <c r="A126" s="8" t="s">
        <v>38</v>
      </c>
      <c r="B126" s="1"/>
      <c r="C126" s="142"/>
      <c r="D126" s="170"/>
    </row>
    <row r="127" spans="1:4" x14ac:dyDescent="0.25">
      <c r="A127" s="15" t="s">
        <v>229</v>
      </c>
      <c r="B127" s="129" t="s">
        <v>36</v>
      </c>
      <c r="C127" s="142"/>
      <c r="D127" s="170"/>
    </row>
    <row r="128" spans="1:4" x14ac:dyDescent="0.25">
      <c r="A128" s="15" t="s">
        <v>329</v>
      </c>
      <c r="B128" s="129" t="s">
        <v>37</v>
      </c>
      <c r="C128" s="142"/>
      <c r="D128" s="170"/>
    </row>
    <row r="129" spans="1:4" x14ac:dyDescent="0.25">
      <c r="A129" s="15" t="s">
        <v>330</v>
      </c>
      <c r="B129" s="129" t="s">
        <v>39</v>
      </c>
      <c r="C129" s="158"/>
      <c r="D129" s="170"/>
    </row>
    <row r="130" spans="1:4" x14ac:dyDescent="0.25">
      <c r="A130" s="11" t="s">
        <v>22</v>
      </c>
      <c r="B130" s="129" t="s">
        <v>265</v>
      </c>
      <c r="C130" s="142"/>
      <c r="D130" s="170"/>
    </row>
    <row r="131" spans="1:4" x14ac:dyDescent="0.25">
      <c r="A131" s="8" t="s">
        <v>103</v>
      </c>
      <c r="B131" s="129"/>
      <c r="C131" s="142"/>
      <c r="D131" s="170"/>
    </row>
    <row r="132" spans="1:4" x14ac:dyDescent="0.25">
      <c r="A132" s="11" t="s">
        <v>238</v>
      </c>
      <c r="B132" s="129" t="s">
        <v>31</v>
      </c>
      <c r="C132" s="142"/>
      <c r="D132" s="170"/>
    </row>
    <row r="133" spans="1:4" x14ac:dyDescent="0.25">
      <c r="A133" s="15" t="s">
        <v>256</v>
      </c>
      <c r="B133" s="129" t="s">
        <v>36</v>
      </c>
      <c r="C133" s="160"/>
      <c r="D133" s="170"/>
    </row>
    <row r="134" spans="1:4" x14ac:dyDescent="0.25">
      <c r="A134" s="11" t="s">
        <v>232</v>
      </c>
      <c r="B134" s="129" t="s">
        <v>37</v>
      </c>
      <c r="C134" s="142"/>
      <c r="D134" s="170"/>
    </row>
    <row r="135" spans="1:4" x14ac:dyDescent="0.25">
      <c r="A135" s="11" t="s">
        <v>233</v>
      </c>
      <c r="B135" s="129" t="s">
        <v>39</v>
      </c>
      <c r="C135" s="142"/>
      <c r="D135" s="170"/>
    </row>
    <row r="136" spans="1:4" x14ac:dyDescent="0.25">
      <c r="A136" s="11" t="s">
        <v>36</v>
      </c>
      <c r="B136" s="129" t="s">
        <v>40</v>
      </c>
      <c r="C136" s="142"/>
      <c r="D136" s="170"/>
    </row>
    <row r="137" spans="1:4" x14ac:dyDescent="0.25">
      <c r="A137" s="11" t="s">
        <v>15</v>
      </c>
      <c r="B137" s="129" t="s">
        <v>41</v>
      </c>
      <c r="C137" s="142"/>
      <c r="D137" s="170"/>
    </row>
    <row r="138" spans="1:4" x14ac:dyDescent="0.25">
      <c r="A138" s="11" t="s">
        <v>235</v>
      </c>
      <c r="B138" s="129" t="s">
        <v>42</v>
      </c>
      <c r="C138" s="142"/>
      <c r="D138" s="170"/>
    </row>
    <row r="139" spans="1:4" x14ac:dyDescent="0.25">
      <c r="A139" s="11" t="s">
        <v>234</v>
      </c>
      <c r="B139" s="129" t="s">
        <v>244</v>
      </c>
      <c r="C139" s="142"/>
      <c r="D139" s="170"/>
    </row>
    <row r="140" spans="1:4" x14ac:dyDescent="0.25">
      <c r="A140" s="11" t="s">
        <v>236</v>
      </c>
      <c r="B140" s="129" t="s">
        <v>245</v>
      </c>
      <c r="C140" s="142"/>
      <c r="D140" s="170"/>
    </row>
    <row r="141" spans="1:4" x14ac:dyDescent="0.25">
      <c r="A141" s="11" t="s">
        <v>237</v>
      </c>
      <c r="B141" s="129" t="s">
        <v>246</v>
      </c>
      <c r="C141" s="142"/>
      <c r="D141" s="170"/>
    </row>
    <row r="142" spans="1:4" x14ac:dyDescent="0.25">
      <c r="A142" s="15" t="s">
        <v>22</v>
      </c>
      <c r="B142" s="129" t="s">
        <v>265</v>
      </c>
      <c r="C142" s="142"/>
      <c r="D142" s="170"/>
    </row>
    <row r="143" spans="1:4" x14ac:dyDescent="0.25">
      <c r="A143" s="8" t="s">
        <v>279</v>
      </c>
      <c r="B143" s="129"/>
      <c r="C143" s="142"/>
      <c r="D143" s="170"/>
    </row>
    <row r="144" spans="1:4" x14ac:dyDescent="0.25">
      <c r="A144" s="67" t="s">
        <v>239</v>
      </c>
      <c r="B144" s="129" t="s">
        <v>109</v>
      </c>
      <c r="C144" s="142"/>
      <c r="D144" s="170"/>
    </row>
    <row r="145" spans="1:4" x14ac:dyDescent="0.25">
      <c r="A145" s="126" t="s">
        <v>240</v>
      </c>
      <c r="B145" s="129" t="s">
        <v>6</v>
      </c>
      <c r="C145" s="142"/>
      <c r="D145" s="170"/>
    </row>
    <row r="146" spans="1:4" x14ac:dyDescent="0.25">
      <c r="A146" s="15" t="s">
        <v>365</v>
      </c>
      <c r="B146" s="129" t="s">
        <v>7</v>
      </c>
      <c r="C146" s="142"/>
      <c r="D146" s="170"/>
    </row>
    <row r="147" spans="1:4" x14ac:dyDescent="0.25">
      <c r="A147" s="11" t="s">
        <v>241</v>
      </c>
      <c r="B147" s="129" t="s">
        <v>8</v>
      </c>
      <c r="C147" s="142"/>
      <c r="D147" s="170"/>
    </row>
    <row r="148" spans="1:4" x14ac:dyDescent="0.25">
      <c r="A148" s="9" t="s">
        <v>249</v>
      </c>
      <c r="B148" s="129" t="s">
        <v>9</v>
      </c>
      <c r="C148" s="142"/>
      <c r="D148" s="170"/>
    </row>
    <row r="149" spans="1:4" x14ac:dyDescent="0.25">
      <c r="A149" s="135" t="s">
        <v>324</v>
      </c>
      <c r="B149" s="129" t="s">
        <v>10</v>
      </c>
      <c r="C149" s="142"/>
      <c r="D149" s="170"/>
    </row>
    <row r="150" spans="1:4" x14ac:dyDescent="0.25">
      <c r="A150" s="9" t="s">
        <v>250</v>
      </c>
      <c r="B150" s="129" t="s">
        <v>11</v>
      </c>
      <c r="C150" s="142"/>
      <c r="D150" s="170"/>
    </row>
    <row r="151" spans="1:4" x14ac:dyDescent="0.25">
      <c r="A151" s="11" t="s">
        <v>242</v>
      </c>
      <c r="B151" s="129" t="s">
        <v>12</v>
      </c>
      <c r="C151" s="142"/>
      <c r="D151" s="170"/>
    </row>
    <row r="152" spans="1:4" x14ac:dyDescent="0.25">
      <c r="A152" s="11" t="s">
        <v>243</v>
      </c>
      <c r="B152" s="129" t="s">
        <v>13</v>
      </c>
      <c r="C152" s="142"/>
      <c r="D152" s="170"/>
    </row>
    <row r="153" spans="1:4" x14ac:dyDescent="0.25">
      <c r="A153" s="9" t="s">
        <v>251</v>
      </c>
      <c r="B153" s="129" t="s">
        <v>14</v>
      </c>
      <c r="C153" s="142"/>
      <c r="D153" s="170"/>
    </row>
    <row r="154" spans="1:4" x14ac:dyDescent="0.25">
      <c r="A154" s="9" t="s">
        <v>252</v>
      </c>
      <c r="B154" s="129" t="s">
        <v>15</v>
      </c>
      <c r="C154" s="142"/>
      <c r="D154" s="170"/>
    </row>
    <row r="155" spans="1:4" x14ac:dyDescent="0.25">
      <c r="A155" s="9" t="s">
        <v>22</v>
      </c>
      <c r="B155" s="129" t="s">
        <v>264</v>
      </c>
      <c r="C155" s="142"/>
      <c r="D155" s="170"/>
    </row>
    <row r="156" spans="1:4" x14ac:dyDescent="0.25">
      <c r="A156" s="8" t="s">
        <v>262</v>
      </c>
      <c r="B156" s="129"/>
      <c r="C156" s="142"/>
      <c r="D156" s="170"/>
    </row>
    <row r="157" spans="1:4" x14ac:dyDescent="0.25">
      <c r="A157" s="11" t="s">
        <v>218</v>
      </c>
      <c r="B157" s="129" t="s">
        <v>31</v>
      </c>
      <c r="C157" s="142"/>
      <c r="D157" s="170"/>
    </row>
    <row r="158" spans="1:4" x14ac:dyDescent="0.25">
      <c r="A158" s="11" t="s">
        <v>316</v>
      </c>
      <c r="B158" s="129" t="s">
        <v>36</v>
      </c>
      <c r="C158" s="142"/>
      <c r="D158" s="170"/>
    </row>
    <row r="159" spans="1:4" x14ac:dyDescent="0.25">
      <c r="A159" s="15" t="s">
        <v>366</v>
      </c>
      <c r="B159" s="129" t="s">
        <v>37</v>
      </c>
      <c r="C159" s="142"/>
      <c r="D159" s="170"/>
    </row>
    <row r="160" spans="1:4" ht="15.75" x14ac:dyDescent="0.25">
      <c r="A160" s="11" t="s">
        <v>317</v>
      </c>
      <c r="B160" s="129" t="s">
        <v>39</v>
      </c>
      <c r="C160" s="142"/>
      <c r="D160" s="170"/>
    </row>
    <row r="161" spans="1:4" ht="15.75" x14ac:dyDescent="0.25">
      <c r="A161" s="11" t="s">
        <v>318</v>
      </c>
      <c r="B161" s="129" t="s">
        <v>40</v>
      </c>
      <c r="C161" s="142"/>
      <c r="D161" s="170"/>
    </row>
    <row r="162" spans="1:4" x14ac:dyDescent="0.25">
      <c r="A162" s="11" t="s">
        <v>22</v>
      </c>
      <c r="B162" s="129" t="s">
        <v>265</v>
      </c>
      <c r="C162" s="142"/>
      <c r="D162" s="170"/>
    </row>
    <row r="163" spans="1:4" x14ac:dyDescent="0.25">
      <c r="A163" s="8" t="s">
        <v>263</v>
      </c>
      <c r="B163" s="129"/>
      <c r="C163" s="142"/>
      <c r="D163" s="170"/>
    </row>
    <row r="164" spans="1:4" x14ac:dyDescent="0.25">
      <c r="A164" s="11" t="s">
        <v>218</v>
      </c>
      <c r="B164" s="129" t="s">
        <v>31</v>
      </c>
      <c r="C164" s="142"/>
      <c r="D164" s="170"/>
    </row>
    <row r="165" spans="1:4" ht="15.75" x14ac:dyDescent="0.25">
      <c r="A165" s="11" t="s">
        <v>319</v>
      </c>
      <c r="B165" s="129" t="s">
        <v>36</v>
      </c>
      <c r="C165" s="142"/>
      <c r="D165" s="170"/>
    </row>
    <row r="166" spans="1:4" x14ac:dyDescent="0.25">
      <c r="A166" s="11" t="s">
        <v>367</v>
      </c>
      <c r="B166" s="129" t="s">
        <v>37</v>
      </c>
      <c r="C166" s="142"/>
      <c r="D166" s="170"/>
    </row>
    <row r="167" spans="1:4" x14ac:dyDescent="0.25">
      <c r="A167" s="11" t="s">
        <v>22</v>
      </c>
      <c r="B167" s="129" t="s">
        <v>265</v>
      </c>
      <c r="C167" s="142"/>
      <c r="D167" s="170"/>
    </row>
    <row r="168" spans="1:4" x14ac:dyDescent="0.25">
      <c r="A168" s="8" t="s">
        <v>266</v>
      </c>
      <c r="B168" s="129"/>
      <c r="C168" s="142"/>
      <c r="D168" s="170"/>
    </row>
    <row r="169" spans="1:4" x14ac:dyDescent="0.25">
      <c r="A169" s="11" t="s">
        <v>218</v>
      </c>
      <c r="B169" s="129" t="s">
        <v>109</v>
      </c>
      <c r="C169" s="142"/>
      <c r="D169" s="170"/>
    </row>
    <row r="170" spans="1:4" x14ac:dyDescent="0.25">
      <c r="A170" s="16" t="s">
        <v>143</v>
      </c>
      <c r="B170" s="129" t="s">
        <v>6</v>
      </c>
      <c r="C170" s="142"/>
      <c r="D170" s="170"/>
    </row>
    <row r="171" spans="1:4" x14ac:dyDescent="0.25">
      <c r="A171" s="16" t="s">
        <v>144</v>
      </c>
      <c r="B171" s="129" t="s">
        <v>7</v>
      </c>
      <c r="C171" s="142"/>
      <c r="D171" s="170"/>
    </row>
    <row r="172" spans="1:4" x14ac:dyDescent="0.25">
      <c r="A172" s="16" t="s">
        <v>145</v>
      </c>
      <c r="B172" s="129" t="s">
        <v>8</v>
      </c>
      <c r="C172" s="142"/>
      <c r="D172" s="170"/>
    </row>
    <row r="173" spans="1:4" x14ac:dyDescent="0.25">
      <c r="A173" s="16" t="s">
        <v>146</v>
      </c>
      <c r="B173" s="129" t="s">
        <v>9</v>
      </c>
      <c r="C173" s="142"/>
      <c r="D173" s="170"/>
    </row>
    <row r="174" spans="1:4" x14ac:dyDescent="0.25">
      <c r="A174" s="16" t="s">
        <v>147</v>
      </c>
      <c r="B174" s="129" t="s">
        <v>10</v>
      </c>
      <c r="C174" s="142"/>
      <c r="D174" s="170"/>
    </row>
    <row r="175" spans="1:4" x14ac:dyDescent="0.25">
      <c r="A175" s="16" t="s">
        <v>148</v>
      </c>
      <c r="B175" s="129" t="s">
        <v>11</v>
      </c>
      <c r="C175" s="142"/>
      <c r="D175" s="170"/>
    </row>
    <row r="176" spans="1:4" x14ac:dyDescent="0.25">
      <c r="A176" s="16" t="s">
        <v>149</v>
      </c>
      <c r="B176" s="129" t="s">
        <v>12</v>
      </c>
      <c r="C176" s="142"/>
      <c r="D176" s="170"/>
    </row>
    <row r="177" spans="1:4" x14ac:dyDescent="0.25">
      <c r="A177" s="16" t="s">
        <v>150</v>
      </c>
      <c r="B177" s="129" t="s">
        <v>13</v>
      </c>
      <c r="C177" s="142"/>
      <c r="D177" s="170"/>
    </row>
    <row r="178" spans="1:4" x14ac:dyDescent="0.25">
      <c r="A178" s="16" t="s">
        <v>151</v>
      </c>
      <c r="B178" s="129" t="s">
        <v>14</v>
      </c>
      <c r="C178" s="142"/>
      <c r="D178" s="170"/>
    </row>
    <row r="179" spans="1:4" x14ac:dyDescent="0.25">
      <c r="A179" s="16" t="s">
        <v>152</v>
      </c>
      <c r="B179" s="129" t="s">
        <v>15</v>
      </c>
      <c r="C179" s="142"/>
      <c r="D179" s="170"/>
    </row>
    <row r="180" spans="1:4" x14ac:dyDescent="0.25">
      <c r="A180" s="16" t="s">
        <v>153</v>
      </c>
      <c r="B180" s="129" t="s">
        <v>16</v>
      </c>
      <c r="C180" s="142"/>
      <c r="D180" s="170"/>
    </row>
    <row r="181" spans="1:4" x14ac:dyDescent="0.25">
      <c r="A181" s="16" t="s">
        <v>154</v>
      </c>
      <c r="B181" s="129" t="s">
        <v>17</v>
      </c>
      <c r="C181" s="142"/>
      <c r="D181" s="170"/>
    </row>
    <row r="182" spans="1:4" x14ac:dyDescent="0.25">
      <c r="A182" s="16" t="s">
        <v>155</v>
      </c>
      <c r="B182" s="129" t="s">
        <v>18</v>
      </c>
      <c r="C182" s="142"/>
      <c r="D182" s="170"/>
    </row>
    <row r="183" spans="1:4" x14ac:dyDescent="0.25">
      <c r="A183" s="16" t="s">
        <v>156</v>
      </c>
      <c r="B183" s="129" t="s">
        <v>19</v>
      </c>
      <c r="C183" s="142"/>
      <c r="D183" s="170"/>
    </row>
    <row r="184" spans="1:4" x14ac:dyDescent="0.25">
      <c r="A184" s="16" t="s">
        <v>22</v>
      </c>
      <c r="B184" s="129" t="s">
        <v>264</v>
      </c>
      <c r="C184" s="142"/>
      <c r="D184" s="170"/>
    </row>
    <row r="185" spans="1:4" x14ac:dyDescent="0.25">
      <c r="A185" s="8" t="s">
        <v>267</v>
      </c>
      <c r="B185" s="129"/>
      <c r="C185" s="167" t="s">
        <v>355</v>
      </c>
      <c r="D185" s="170"/>
    </row>
    <row r="186" spans="1:4" x14ac:dyDescent="0.25">
      <c r="A186" s="67" t="s">
        <v>220</v>
      </c>
      <c r="B186" s="129" t="s">
        <v>31</v>
      </c>
      <c r="C186" s="142"/>
      <c r="D186" s="170"/>
    </row>
    <row r="187" spans="1:4" x14ac:dyDescent="0.25">
      <c r="A187" s="168" t="s">
        <v>157</v>
      </c>
      <c r="B187" s="129" t="s">
        <v>36</v>
      </c>
      <c r="C187" s="142"/>
      <c r="D187" s="170"/>
    </row>
    <row r="188" spans="1:4" x14ac:dyDescent="0.25">
      <c r="A188" s="168" t="s">
        <v>158</v>
      </c>
      <c r="B188" s="129" t="s">
        <v>37</v>
      </c>
      <c r="C188" s="142"/>
      <c r="D188" s="170"/>
    </row>
    <row r="189" spans="1:4" x14ac:dyDescent="0.25">
      <c r="A189" s="8" t="s">
        <v>268</v>
      </c>
      <c r="B189" s="129"/>
      <c r="C189" s="142"/>
      <c r="D189" s="170"/>
    </row>
    <row r="190" spans="1:4" x14ac:dyDescent="0.25">
      <c r="A190" s="67" t="s">
        <v>220</v>
      </c>
      <c r="B190" s="129" t="s">
        <v>31</v>
      </c>
      <c r="C190" s="142"/>
      <c r="D190" s="170"/>
    </row>
    <row r="191" spans="1:4" x14ac:dyDescent="0.25">
      <c r="A191" s="16" t="s">
        <v>159</v>
      </c>
      <c r="B191" s="129" t="s">
        <v>36</v>
      </c>
      <c r="C191" s="142"/>
      <c r="D191" s="170"/>
    </row>
    <row r="192" spans="1:4" x14ac:dyDescent="0.25">
      <c r="A192" s="16" t="s">
        <v>160</v>
      </c>
      <c r="B192" s="129" t="s">
        <v>37</v>
      </c>
      <c r="C192" s="142"/>
      <c r="D192" s="170"/>
    </row>
    <row r="193" spans="1:4" x14ac:dyDescent="0.25">
      <c r="A193" s="16" t="s">
        <v>161</v>
      </c>
      <c r="B193" s="129" t="s">
        <v>39</v>
      </c>
      <c r="C193" s="142"/>
      <c r="D193" s="170"/>
    </row>
    <row r="194" spans="1:4" x14ac:dyDescent="0.25">
      <c r="A194" s="16" t="s">
        <v>162</v>
      </c>
      <c r="B194" s="129" t="s">
        <v>40</v>
      </c>
      <c r="C194" s="142"/>
      <c r="D194" s="170"/>
    </row>
    <row r="195" spans="1:4" x14ac:dyDescent="0.25">
      <c r="A195" s="8" t="s">
        <v>270</v>
      </c>
      <c r="B195" s="1"/>
      <c r="C195" s="142"/>
      <c r="D195" s="170"/>
    </row>
    <row r="196" spans="1:4" x14ac:dyDescent="0.25">
      <c r="A196" s="67" t="s">
        <v>163</v>
      </c>
      <c r="B196" s="129" t="s">
        <v>31</v>
      </c>
      <c r="C196" s="142"/>
      <c r="D196" s="170"/>
    </row>
    <row r="197" spans="1:4" x14ac:dyDescent="0.25">
      <c r="A197" s="16" t="s">
        <v>368</v>
      </c>
      <c r="B197" s="129" t="s">
        <v>36</v>
      </c>
      <c r="C197" s="142"/>
      <c r="D197" s="170"/>
    </row>
    <row r="198" spans="1:4" x14ac:dyDescent="0.25">
      <c r="A198" s="16" t="s">
        <v>141</v>
      </c>
      <c r="B198" s="129" t="s">
        <v>37</v>
      </c>
      <c r="C198" s="142"/>
      <c r="D198" s="170"/>
    </row>
    <row r="199" spans="1:4" x14ac:dyDescent="0.25">
      <c r="A199" s="16" t="s">
        <v>253</v>
      </c>
      <c r="B199" s="129" t="s">
        <v>39</v>
      </c>
      <c r="C199" s="142"/>
      <c r="D199" s="170"/>
    </row>
    <row r="200" spans="1:4" x14ac:dyDescent="0.25">
      <c r="A200" s="16" t="s">
        <v>255</v>
      </c>
      <c r="B200" s="129" t="s">
        <v>40</v>
      </c>
      <c r="C200" s="142"/>
      <c r="D200" s="170"/>
    </row>
    <row r="201" spans="1:4" x14ac:dyDescent="0.25">
      <c r="A201" s="16" t="s">
        <v>254</v>
      </c>
      <c r="B201" s="129" t="s">
        <v>41</v>
      </c>
      <c r="C201" s="142"/>
      <c r="D201" s="170"/>
    </row>
    <row r="202" spans="1:4" x14ac:dyDescent="0.25">
      <c r="A202" s="12" t="s">
        <v>22</v>
      </c>
      <c r="B202" s="134" t="s">
        <v>265</v>
      </c>
      <c r="C202" s="142"/>
      <c r="D202" s="170"/>
    </row>
    <row r="203" spans="1:4" x14ac:dyDescent="0.25">
      <c r="A203" s="8" t="s">
        <v>271</v>
      </c>
      <c r="B203" s="1"/>
      <c r="C203" s="142"/>
      <c r="D203" s="170"/>
    </row>
    <row r="204" spans="1:4" x14ac:dyDescent="0.25">
      <c r="A204" s="67" t="s">
        <v>248</v>
      </c>
      <c r="B204" s="129" t="s">
        <v>109</v>
      </c>
      <c r="C204" s="142"/>
      <c r="D204" s="170"/>
    </row>
    <row r="205" spans="1:4" x14ac:dyDescent="0.25">
      <c r="A205" s="16" t="s">
        <v>369</v>
      </c>
      <c r="B205" s="129" t="s">
        <v>6</v>
      </c>
      <c r="C205" s="142"/>
      <c r="D205" s="170"/>
    </row>
    <row r="206" spans="1:4" x14ac:dyDescent="0.25">
      <c r="A206" s="16" t="s">
        <v>164</v>
      </c>
      <c r="B206" s="129" t="s">
        <v>7</v>
      </c>
      <c r="C206" s="142"/>
      <c r="D206" s="170"/>
    </row>
    <row r="207" spans="1:4" x14ac:dyDescent="0.25">
      <c r="A207" s="16" t="s">
        <v>165</v>
      </c>
      <c r="B207" s="129" t="s">
        <v>8</v>
      </c>
      <c r="C207" s="142"/>
      <c r="D207" s="170"/>
    </row>
    <row r="208" spans="1:4" x14ac:dyDescent="0.25">
      <c r="A208" s="16" t="s">
        <v>134</v>
      </c>
      <c r="B208" s="129" t="s">
        <v>9</v>
      </c>
      <c r="C208" s="142"/>
      <c r="D208" s="170"/>
    </row>
    <row r="209" spans="1:4" x14ac:dyDescent="0.25">
      <c r="A209" s="16" t="s">
        <v>44</v>
      </c>
      <c r="B209" s="129" t="s">
        <v>10</v>
      </c>
      <c r="C209" s="142"/>
      <c r="D209" s="170"/>
    </row>
    <row r="210" spans="1:4" x14ac:dyDescent="0.25">
      <c r="A210" s="16" t="s">
        <v>43</v>
      </c>
      <c r="B210" s="129" t="s">
        <v>11</v>
      </c>
      <c r="C210" s="142"/>
      <c r="D210" s="170"/>
    </row>
    <row r="211" spans="1:4" x14ac:dyDescent="0.25">
      <c r="A211" s="16" t="s">
        <v>135</v>
      </c>
      <c r="B211" s="129" t="s">
        <v>12</v>
      </c>
      <c r="C211" s="142"/>
      <c r="D211" s="170"/>
    </row>
    <row r="212" spans="1:4" x14ac:dyDescent="0.25">
      <c r="A212" s="16" t="s">
        <v>136</v>
      </c>
      <c r="B212" s="129" t="s">
        <v>13</v>
      </c>
      <c r="C212" s="142"/>
      <c r="D212" s="170"/>
    </row>
    <row r="213" spans="1:4" x14ac:dyDescent="0.25">
      <c r="A213" s="16" t="s">
        <v>137</v>
      </c>
      <c r="B213" s="129" t="s">
        <v>14</v>
      </c>
      <c r="C213" s="142"/>
      <c r="D213" s="170"/>
    </row>
    <row r="214" spans="1:4" x14ac:dyDescent="0.25">
      <c r="A214" s="16" t="s">
        <v>166</v>
      </c>
      <c r="B214" s="129" t="s">
        <v>15</v>
      </c>
      <c r="C214" s="142"/>
      <c r="D214" s="170"/>
    </row>
    <row r="215" spans="1:4" x14ac:dyDescent="0.25">
      <c r="A215" s="16" t="s">
        <v>167</v>
      </c>
      <c r="B215" s="129" t="s">
        <v>16</v>
      </c>
      <c r="C215" s="142"/>
      <c r="D215" s="170"/>
    </row>
    <row r="216" spans="1:4" x14ac:dyDescent="0.25">
      <c r="A216" s="16" t="s">
        <v>168</v>
      </c>
      <c r="B216" s="129" t="s">
        <v>17</v>
      </c>
      <c r="C216" s="142"/>
      <c r="D216" s="170"/>
    </row>
    <row r="217" spans="1:4" x14ac:dyDescent="0.25">
      <c r="A217" s="16" t="s">
        <v>138</v>
      </c>
      <c r="B217" s="129" t="s">
        <v>18</v>
      </c>
      <c r="C217" s="142"/>
      <c r="D217" s="170"/>
    </row>
    <row r="218" spans="1:4" x14ac:dyDescent="0.25">
      <c r="A218" s="16" t="s">
        <v>139</v>
      </c>
      <c r="B218" s="129" t="s">
        <v>19</v>
      </c>
      <c r="C218" s="142"/>
      <c r="D218" s="170"/>
    </row>
    <row r="219" spans="1:4" x14ac:dyDescent="0.25">
      <c r="A219" s="16" t="s">
        <v>140</v>
      </c>
      <c r="B219" s="129" t="s">
        <v>20</v>
      </c>
      <c r="C219" s="142"/>
      <c r="D219" s="170"/>
    </row>
    <row r="220" spans="1:4" x14ac:dyDescent="0.25">
      <c r="A220" s="11" t="s">
        <v>22</v>
      </c>
      <c r="B220" s="129" t="s">
        <v>264</v>
      </c>
      <c r="C220" s="142"/>
      <c r="D220" s="170"/>
    </row>
    <row r="221" spans="1:4" x14ac:dyDescent="0.25">
      <c r="A221" s="8" t="s">
        <v>272</v>
      </c>
      <c r="B221" s="1"/>
      <c r="C221" s="142"/>
      <c r="D221" s="170"/>
    </row>
    <row r="222" spans="1:4" x14ac:dyDescent="0.25">
      <c r="A222" s="67" t="s">
        <v>185</v>
      </c>
      <c r="B222" s="129" t="s">
        <v>31</v>
      </c>
      <c r="C222" s="142"/>
      <c r="D222" s="170"/>
    </row>
    <row r="223" spans="1:4" x14ac:dyDescent="0.25">
      <c r="A223" s="11" t="s">
        <v>370</v>
      </c>
      <c r="B223" s="129" t="s">
        <v>36</v>
      </c>
      <c r="C223" s="142"/>
      <c r="D223" s="170"/>
    </row>
    <row r="224" spans="1:4" x14ac:dyDescent="0.25">
      <c r="A224" s="11" t="s">
        <v>180</v>
      </c>
      <c r="B224" s="129" t="s">
        <v>37</v>
      </c>
      <c r="C224" s="142"/>
      <c r="D224" s="170"/>
    </row>
    <row r="225" spans="1:4" x14ac:dyDescent="0.25">
      <c r="A225" s="11" t="s">
        <v>357</v>
      </c>
      <c r="B225" s="129" t="s">
        <v>39</v>
      </c>
      <c r="C225" s="142"/>
      <c r="D225" s="170"/>
    </row>
    <row r="226" spans="1:4" x14ac:dyDescent="0.25">
      <c r="A226" s="11" t="s">
        <v>358</v>
      </c>
      <c r="B226" s="129" t="s">
        <v>40</v>
      </c>
      <c r="C226" s="142"/>
      <c r="D226" s="170"/>
    </row>
    <row r="227" spans="1:4" x14ac:dyDescent="0.25">
      <c r="A227" s="11" t="s">
        <v>22</v>
      </c>
      <c r="B227" s="129" t="s">
        <v>265</v>
      </c>
      <c r="C227" s="142"/>
      <c r="D227" s="170"/>
    </row>
    <row r="228" spans="1:4" x14ac:dyDescent="0.25">
      <c r="A228" s="8" t="s">
        <v>273</v>
      </c>
      <c r="B228" s="1"/>
      <c r="C228" s="142"/>
      <c r="D228" s="170"/>
    </row>
    <row r="229" spans="1:4" x14ac:dyDescent="0.25">
      <c r="A229" s="67" t="s">
        <v>247</v>
      </c>
      <c r="B229" s="129" t="s">
        <v>109</v>
      </c>
      <c r="C229" s="142"/>
      <c r="D229" s="170"/>
    </row>
    <row r="230" spans="1:4" x14ac:dyDescent="0.25">
      <c r="A230" s="11" t="s">
        <v>371</v>
      </c>
      <c r="B230" s="129" t="s">
        <v>6</v>
      </c>
      <c r="C230" s="142"/>
      <c r="D230" s="170"/>
    </row>
    <row r="231" spans="1:4" x14ac:dyDescent="0.25">
      <c r="A231" s="11" t="s">
        <v>169</v>
      </c>
      <c r="B231" s="129" t="s">
        <v>7</v>
      </c>
      <c r="C231" s="142"/>
      <c r="D231" s="170"/>
    </row>
    <row r="232" spans="1:4" x14ac:dyDescent="0.25">
      <c r="A232" s="11" t="s">
        <v>170</v>
      </c>
      <c r="B232" s="129" t="s">
        <v>8</v>
      </c>
      <c r="C232" s="142"/>
      <c r="D232" s="170"/>
    </row>
    <row r="233" spans="1:4" x14ac:dyDescent="0.25">
      <c r="A233" s="11" t="s">
        <v>171</v>
      </c>
      <c r="B233" s="129" t="s">
        <v>9</v>
      </c>
      <c r="C233" s="142"/>
      <c r="D233" s="170"/>
    </row>
    <row r="234" spans="1:4" x14ac:dyDescent="0.25">
      <c r="A234" s="11" t="s">
        <v>172</v>
      </c>
      <c r="B234" s="129" t="s">
        <v>10</v>
      </c>
      <c r="C234" s="142"/>
      <c r="D234" s="170"/>
    </row>
    <row r="235" spans="1:4" x14ac:dyDescent="0.25">
      <c r="A235" s="11" t="s">
        <v>173</v>
      </c>
      <c r="B235" s="129" t="s">
        <v>11</v>
      </c>
      <c r="C235" s="142"/>
      <c r="D235" s="170"/>
    </row>
    <row r="236" spans="1:4" x14ac:dyDescent="0.25">
      <c r="A236" s="11" t="s">
        <v>174</v>
      </c>
      <c r="B236" s="129" t="s">
        <v>12</v>
      </c>
      <c r="C236" s="142"/>
      <c r="D236" s="170"/>
    </row>
    <row r="237" spans="1:4" x14ac:dyDescent="0.25">
      <c r="A237" s="11" t="s">
        <v>175</v>
      </c>
      <c r="B237" s="129" t="s">
        <v>13</v>
      </c>
      <c r="C237" s="142"/>
      <c r="D237" s="170"/>
    </row>
    <row r="238" spans="1:4" x14ac:dyDescent="0.25">
      <c r="A238" s="11" t="s">
        <v>176</v>
      </c>
      <c r="B238" s="129" t="s">
        <v>14</v>
      </c>
      <c r="C238" s="142"/>
      <c r="D238" s="170"/>
    </row>
    <row r="239" spans="1:4" x14ac:dyDescent="0.25">
      <c r="A239" s="11" t="s">
        <v>177</v>
      </c>
      <c r="B239" s="129" t="s">
        <v>15</v>
      </c>
      <c r="C239" s="142"/>
      <c r="D239" s="170"/>
    </row>
    <row r="240" spans="1:4" x14ac:dyDescent="0.25">
      <c r="A240" s="11" t="s">
        <v>178</v>
      </c>
      <c r="B240" s="129" t="s">
        <v>16</v>
      </c>
      <c r="C240" s="142"/>
      <c r="D240" s="170"/>
    </row>
    <row r="241" spans="1:4" x14ac:dyDescent="0.25">
      <c r="A241" s="11" t="s">
        <v>179</v>
      </c>
      <c r="B241" s="129" t="s">
        <v>17</v>
      </c>
      <c r="C241" s="142"/>
      <c r="D241" s="170"/>
    </row>
    <row r="242" spans="1:4" x14ac:dyDescent="0.25">
      <c r="A242" s="11" t="s">
        <v>22</v>
      </c>
      <c r="B242" s="129" t="s">
        <v>264</v>
      </c>
      <c r="C242" s="142"/>
      <c r="D242" s="170"/>
    </row>
    <row r="243" spans="1:4" x14ac:dyDescent="0.25">
      <c r="A243" s="8" t="s">
        <v>274</v>
      </c>
      <c r="B243" s="1"/>
      <c r="C243" s="142"/>
      <c r="D243" s="170"/>
    </row>
    <row r="244" spans="1:4" x14ac:dyDescent="0.25">
      <c r="A244" s="67" t="s">
        <v>221</v>
      </c>
      <c r="B244" s="129" t="s">
        <v>31</v>
      </c>
      <c r="C244" s="142"/>
      <c r="D244" s="170"/>
    </row>
    <row r="245" spans="1:4" x14ac:dyDescent="0.25">
      <c r="A245" s="11" t="s">
        <v>181</v>
      </c>
      <c r="B245" s="129" t="s">
        <v>36</v>
      </c>
      <c r="C245" s="142"/>
      <c r="D245" s="170"/>
    </row>
    <row r="246" spans="1:4" x14ac:dyDescent="0.25">
      <c r="A246" s="11" t="s">
        <v>182</v>
      </c>
      <c r="B246" s="129" t="s">
        <v>37</v>
      </c>
      <c r="C246" s="142"/>
      <c r="D246" s="170"/>
    </row>
    <row r="247" spans="1:4" x14ac:dyDescent="0.25">
      <c r="A247" s="8" t="s">
        <v>275</v>
      </c>
      <c r="B247" s="1"/>
      <c r="C247" s="142"/>
      <c r="D247" s="170"/>
    </row>
    <row r="248" spans="1:4" x14ac:dyDescent="0.25">
      <c r="A248" s="67" t="s">
        <v>353</v>
      </c>
      <c r="B248" s="129" t="s">
        <v>31</v>
      </c>
      <c r="C248" s="142"/>
      <c r="D248" s="170"/>
    </row>
    <row r="249" spans="1:4" x14ac:dyDescent="0.25">
      <c r="A249" s="11" t="s">
        <v>183</v>
      </c>
      <c r="B249" s="129" t="s">
        <v>36</v>
      </c>
      <c r="C249" s="142"/>
      <c r="D249" s="170"/>
    </row>
    <row r="250" spans="1:4" x14ac:dyDescent="0.25">
      <c r="A250" s="11" t="s">
        <v>184</v>
      </c>
      <c r="B250" s="129" t="s">
        <v>37</v>
      </c>
      <c r="C250" s="142"/>
      <c r="D250" s="170"/>
    </row>
    <row r="251" spans="1:4" x14ac:dyDescent="0.25">
      <c r="A251" s="8" t="s">
        <v>48</v>
      </c>
      <c r="B251" s="1"/>
      <c r="C251" s="142"/>
      <c r="D251" s="170"/>
    </row>
    <row r="252" spans="1:4" x14ac:dyDescent="0.25">
      <c r="A252" s="67" t="s">
        <v>354</v>
      </c>
      <c r="B252" s="129" t="s">
        <v>31</v>
      </c>
      <c r="C252" s="142"/>
      <c r="D252" s="170"/>
    </row>
    <row r="253" spans="1:4" x14ac:dyDescent="0.25">
      <c r="A253" s="12" t="s">
        <v>186</v>
      </c>
      <c r="B253" s="134">
        <v>1</v>
      </c>
      <c r="C253" s="142"/>
      <c r="D253" s="170"/>
    </row>
    <row r="254" spans="1:4" x14ac:dyDescent="0.25">
      <c r="A254" s="12" t="s">
        <v>187</v>
      </c>
      <c r="B254" s="134">
        <v>2</v>
      </c>
      <c r="C254" s="142"/>
      <c r="D254" s="170"/>
    </row>
    <row r="255" spans="1:4" x14ac:dyDescent="0.25">
      <c r="A255" s="12" t="s">
        <v>188</v>
      </c>
      <c r="B255" s="134">
        <v>3</v>
      </c>
      <c r="C255" s="142"/>
      <c r="D255" s="170"/>
    </row>
    <row r="256" spans="1:4" x14ac:dyDescent="0.25">
      <c r="A256" s="12" t="s">
        <v>315</v>
      </c>
      <c r="B256" s="134">
        <v>4</v>
      </c>
      <c r="C256" s="159"/>
      <c r="D256" s="170"/>
    </row>
    <row r="257" spans="1:4" x14ac:dyDescent="0.25">
      <c r="A257" s="12" t="s">
        <v>189</v>
      </c>
      <c r="B257" s="134">
        <v>5</v>
      </c>
      <c r="C257" s="142"/>
      <c r="D257" s="170"/>
    </row>
    <row r="258" spans="1:4" x14ac:dyDescent="0.25">
      <c r="A258" s="12" t="s">
        <v>190</v>
      </c>
      <c r="B258" s="134">
        <v>6</v>
      </c>
      <c r="C258" s="142"/>
      <c r="D258" s="170"/>
    </row>
    <row r="259" spans="1:4" x14ac:dyDescent="0.25">
      <c r="A259" s="12" t="s">
        <v>191</v>
      </c>
      <c r="B259" s="134">
        <v>7</v>
      </c>
      <c r="C259" s="142"/>
      <c r="D259" s="170"/>
    </row>
    <row r="260" spans="1:4" x14ac:dyDescent="0.25">
      <c r="A260" s="8" t="s">
        <v>45</v>
      </c>
      <c r="B260" s="1"/>
      <c r="C260" s="142"/>
      <c r="D260" s="170"/>
    </row>
    <row r="261" spans="1:4" x14ac:dyDescent="0.25">
      <c r="A261" s="12" t="s">
        <v>82</v>
      </c>
      <c r="B261" s="129" t="s">
        <v>31</v>
      </c>
      <c r="C261" s="142"/>
      <c r="D261" s="170"/>
    </row>
    <row r="262" spans="1:4" x14ac:dyDescent="0.25">
      <c r="A262" s="16" t="s">
        <v>81</v>
      </c>
      <c r="B262" s="129" t="s">
        <v>36</v>
      </c>
      <c r="C262" s="142"/>
      <c r="D262" s="170"/>
    </row>
    <row r="263" spans="1:4" x14ac:dyDescent="0.25">
      <c r="A263" s="16" t="s">
        <v>323</v>
      </c>
      <c r="B263" s="129" t="s">
        <v>37</v>
      </c>
      <c r="C263" s="159"/>
      <c r="D263" s="170"/>
    </row>
    <row r="264" spans="1:4" x14ac:dyDescent="0.25">
      <c r="A264" s="8" t="s">
        <v>280</v>
      </c>
      <c r="B264" s="1"/>
      <c r="C264" s="142"/>
      <c r="D264" s="170"/>
    </row>
    <row r="265" spans="1:4" x14ac:dyDescent="0.25">
      <c r="A265" s="17" t="s">
        <v>335</v>
      </c>
      <c r="B265" s="1"/>
      <c r="C265" s="142"/>
      <c r="D265" s="170"/>
    </row>
    <row r="266" spans="1:4" x14ac:dyDescent="0.25">
      <c r="A266" s="8" t="s">
        <v>281</v>
      </c>
      <c r="B266" s="1"/>
      <c r="C266" s="159"/>
      <c r="D266" s="170"/>
    </row>
    <row r="267" spans="1:4" x14ac:dyDescent="0.25">
      <c r="A267" s="17" t="s">
        <v>335</v>
      </c>
      <c r="B267" s="1"/>
      <c r="C267" s="142"/>
      <c r="D267" s="170"/>
    </row>
    <row r="268" spans="1:4" x14ac:dyDescent="0.25">
      <c r="A268" s="8" t="s">
        <v>49</v>
      </c>
      <c r="B268" s="1"/>
      <c r="C268" s="142"/>
      <c r="D268" s="170"/>
    </row>
    <row r="269" spans="1:4" x14ac:dyDescent="0.25">
      <c r="A269" s="67" t="s">
        <v>222</v>
      </c>
      <c r="B269" s="134">
        <v>0</v>
      </c>
      <c r="C269" s="142"/>
      <c r="D269" s="170"/>
    </row>
    <row r="270" spans="1:4" x14ac:dyDescent="0.25">
      <c r="A270" s="168" t="s">
        <v>331</v>
      </c>
      <c r="B270" s="134">
        <v>4</v>
      </c>
      <c r="C270" s="142"/>
      <c r="D270" s="170"/>
    </row>
    <row r="271" spans="1:4" x14ac:dyDescent="0.25">
      <c r="A271" s="168" t="s">
        <v>333</v>
      </c>
      <c r="B271" s="134">
        <v>5</v>
      </c>
      <c r="C271" s="142"/>
      <c r="D271" s="170"/>
    </row>
    <row r="272" spans="1:4" x14ac:dyDescent="0.25">
      <c r="A272" s="8" t="s">
        <v>46</v>
      </c>
      <c r="B272" s="1"/>
      <c r="C272" s="142"/>
      <c r="D272" s="170"/>
    </row>
    <row r="273" spans="1:4" x14ac:dyDescent="0.25">
      <c r="A273" s="67" t="s">
        <v>334</v>
      </c>
      <c r="B273" s="134">
        <v>0</v>
      </c>
      <c r="C273" s="142"/>
      <c r="D273" s="170"/>
    </row>
    <row r="274" spans="1:4" x14ac:dyDescent="0.25">
      <c r="A274" s="12" t="s">
        <v>47</v>
      </c>
      <c r="B274" s="134">
        <v>1</v>
      </c>
      <c r="C274" s="142"/>
      <c r="D274" s="170"/>
    </row>
    <row r="275" spans="1:4" x14ac:dyDescent="0.25">
      <c r="A275" s="12" t="s">
        <v>372</v>
      </c>
      <c r="B275" s="134">
        <v>2</v>
      </c>
      <c r="C275" s="142"/>
      <c r="D275" s="170"/>
    </row>
    <row r="276" spans="1:4" x14ac:dyDescent="0.25">
      <c r="A276" s="12" t="s">
        <v>192</v>
      </c>
      <c r="B276" s="134">
        <v>3</v>
      </c>
      <c r="C276" s="142"/>
      <c r="D276" s="170"/>
    </row>
    <row r="277" spans="1:4" x14ac:dyDescent="0.25">
      <c r="A277" s="12" t="s">
        <v>193</v>
      </c>
      <c r="B277" s="134">
        <v>4</v>
      </c>
      <c r="C277" s="142"/>
      <c r="D277" s="170"/>
    </row>
    <row r="278" spans="1:4" x14ac:dyDescent="0.25">
      <c r="A278" s="12" t="s">
        <v>194</v>
      </c>
      <c r="B278" s="134">
        <v>5</v>
      </c>
      <c r="C278" s="142"/>
      <c r="D278" s="170"/>
    </row>
    <row r="279" spans="1:4" x14ac:dyDescent="0.25">
      <c r="A279" s="8" t="s">
        <v>277</v>
      </c>
      <c r="B279" s="1"/>
      <c r="C279" s="142"/>
      <c r="D279" s="170"/>
    </row>
    <row r="280" spans="1:4" x14ac:dyDescent="0.25">
      <c r="A280" s="12" t="s">
        <v>276</v>
      </c>
      <c r="B280" s="134">
        <v>0</v>
      </c>
      <c r="C280" s="142"/>
      <c r="D280" s="170"/>
    </row>
    <row r="281" spans="1:4" x14ac:dyDescent="0.25">
      <c r="A281" s="12" t="s">
        <v>294</v>
      </c>
      <c r="B281" s="134">
        <v>2</v>
      </c>
      <c r="C281" s="142"/>
      <c r="D281" s="170"/>
    </row>
    <row r="282" spans="1:4" x14ac:dyDescent="0.25">
      <c r="A282" s="154" t="str">
        <f>IF(OR(Specifikace!$E$5=1,Specifikace!$E$5=4),"Nadstandardní kalibrace s přesností ± 1 %",IF(OR(Specifikace!$E$5=2,Specifikace!$E$5=6),"Nadstandardní kalibrace s přesností ± 0,5 %","Variantní hodnota - nejprve zadejte Provedení měřicího čidla"))</f>
        <v>Variantní hodnota - nejprve zadejte Provedení měřicího čidla</v>
      </c>
      <c r="B282" s="134">
        <v>3</v>
      </c>
      <c r="C282" s="142"/>
      <c r="D282" s="170"/>
    </row>
    <row r="283" spans="1:4" x14ac:dyDescent="0.25">
      <c r="A283" s="12" t="s">
        <v>291</v>
      </c>
      <c r="B283" s="134">
        <v>5</v>
      </c>
      <c r="C283" s="142"/>
      <c r="D283" s="170"/>
    </row>
    <row r="284" spans="1:4" ht="30" x14ac:dyDescent="0.25">
      <c r="A284" s="152" t="s">
        <v>292</v>
      </c>
      <c r="B284" s="153">
        <v>6</v>
      </c>
      <c r="C284" s="142"/>
      <c r="D284" s="170"/>
    </row>
    <row r="285" spans="1:4" x14ac:dyDescent="0.25">
      <c r="A285" s="12" t="s">
        <v>293</v>
      </c>
      <c r="B285" s="134" t="s">
        <v>265</v>
      </c>
      <c r="C285" s="142"/>
      <c r="D285" s="170"/>
    </row>
    <row r="286" spans="1:4" x14ac:dyDescent="0.25">
      <c r="A286" s="8" t="s">
        <v>107</v>
      </c>
      <c r="B286" s="134"/>
      <c r="C286" s="142"/>
      <c r="D286" s="170"/>
    </row>
    <row r="287" spans="1:4" x14ac:dyDescent="0.25">
      <c r="A287" s="17" t="s">
        <v>336</v>
      </c>
      <c r="B287" s="134"/>
      <c r="C287" s="143"/>
      <c r="D287" s="170"/>
    </row>
    <row r="288" spans="1:4" x14ac:dyDescent="0.25">
      <c r="A288" s="8" t="s">
        <v>51</v>
      </c>
      <c r="B288" s="1"/>
      <c r="C288" s="143"/>
      <c r="D288" s="170"/>
    </row>
    <row r="289" spans="1:4" x14ac:dyDescent="0.25">
      <c r="A289" s="12" t="s">
        <v>57</v>
      </c>
      <c r="B289" s="134">
        <v>0</v>
      </c>
      <c r="C289" s="143"/>
      <c r="D289" s="170"/>
    </row>
    <row r="290" spans="1:4" x14ac:dyDescent="0.25">
      <c r="A290" s="12" t="s">
        <v>58</v>
      </c>
      <c r="B290" s="134">
        <v>1</v>
      </c>
      <c r="C290" s="143"/>
      <c r="D290" s="170"/>
    </row>
    <row r="291" spans="1:4" x14ac:dyDescent="0.25">
      <c r="A291" s="12" t="s">
        <v>22</v>
      </c>
      <c r="B291" s="134" t="s">
        <v>265</v>
      </c>
      <c r="C291" s="143"/>
      <c r="D291" s="170"/>
    </row>
    <row r="292" spans="1:4" x14ac:dyDescent="0.25">
      <c r="A292" s="8" t="s">
        <v>52</v>
      </c>
      <c r="B292" s="1"/>
      <c r="C292" s="143"/>
      <c r="D292" s="170"/>
    </row>
    <row r="293" spans="1:4" x14ac:dyDescent="0.25">
      <c r="A293" s="12" t="s">
        <v>59</v>
      </c>
      <c r="B293" s="134">
        <v>1</v>
      </c>
      <c r="C293" s="143"/>
      <c r="D293" s="170"/>
    </row>
    <row r="294" spans="1:4" x14ac:dyDescent="0.25">
      <c r="A294" s="12" t="s">
        <v>60</v>
      </c>
      <c r="B294" s="134">
        <v>2</v>
      </c>
      <c r="C294" s="143"/>
      <c r="D294" s="170"/>
    </row>
    <row r="295" spans="1:4" x14ac:dyDescent="0.25">
      <c r="A295" s="12" t="s">
        <v>61</v>
      </c>
      <c r="B295" s="134">
        <v>3</v>
      </c>
      <c r="C295" s="143"/>
      <c r="D295" s="170"/>
    </row>
    <row r="296" spans="1:4" x14ac:dyDescent="0.25">
      <c r="A296" s="12" t="s">
        <v>22</v>
      </c>
      <c r="B296" s="134" t="s">
        <v>265</v>
      </c>
      <c r="C296" s="143"/>
      <c r="D296" s="170"/>
    </row>
    <row r="297" spans="1:4" x14ac:dyDescent="0.25">
      <c r="A297" s="8" t="s">
        <v>53</v>
      </c>
      <c r="B297" s="1"/>
      <c r="C297" s="143"/>
      <c r="D297" s="170"/>
    </row>
    <row r="298" spans="1:4" x14ac:dyDescent="0.25">
      <c r="A298" s="12" t="s">
        <v>54</v>
      </c>
      <c r="B298" s="134">
        <v>1</v>
      </c>
      <c r="C298" s="143"/>
      <c r="D298" s="170"/>
    </row>
    <row r="299" spans="1:4" x14ac:dyDescent="0.25">
      <c r="A299" s="16" t="s">
        <v>361</v>
      </c>
      <c r="B299" s="134">
        <v>2</v>
      </c>
      <c r="C299" s="143"/>
      <c r="D299" s="170"/>
    </row>
    <row r="300" spans="1:4" x14ac:dyDescent="0.25">
      <c r="A300" s="12" t="s">
        <v>55</v>
      </c>
      <c r="B300" s="134">
        <v>3</v>
      </c>
      <c r="C300" s="143"/>
      <c r="D300" s="170"/>
    </row>
    <row r="301" spans="1:4" x14ac:dyDescent="0.25">
      <c r="A301" s="12" t="s">
        <v>373</v>
      </c>
      <c r="B301" s="134">
        <v>4</v>
      </c>
      <c r="C301" s="143"/>
      <c r="D301" s="170"/>
    </row>
    <row r="302" spans="1:4" x14ac:dyDescent="0.25">
      <c r="A302" s="12" t="s">
        <v>56</v>
      </c>
      <c r="B302" s="134">
        <v>5</v>
      </c>
      <c r="C302" s="143"/>
      <c r="D302" s="170"/>
    </row>
    <row r="303" spans="1:4" x14ac:dyDescent="0.25">
      <c r="A303" s="12" t="s">
        <v>22</v>
      </c>
      <c r="B303" s="134" t="s">
        <v>265</v>
      </c>
      <c r="C303" s="143"/>
      <c r="D303" s="170"/>
    </row>
    <row r="304" spans="1:4" x14ac:dyDescent="0.25">
      <c r="A304" s="8" t="s">
        <v>282</v>
      </c>
      <c r="C304" s="166" t="s">
        <v>343</v>
      </c>
      <c r="D304" s="170"/>
    </row>
    <row r="305" spans="1:4" x14ac:dyDescent="0.25">
      <c r="A305" s="162" t="s">
        <v>344</v>
      </c>
      <c r="B305" s="134">
        <v>1</v>
      </c>
      <c r="C305" s="161" t="s">
        <v>346</v>
      </c>
      <c r="D305" s="170"/>
    </row>
    <row r="306" spans="1:4" x14ac:dyDescent="0.25">
      <c r="A306" s="164" t="s">
        <v>345</v>
      </c>
      <c r="B306" s="134">
        <v>2</v>
      </c>
      <c r="C306" s="161" t="s">
        <v>347</v>
      </c>
      <c r="D306" s="170"/>
    </row>
    <row r="307" spans="1:4" x14ac:dyDescent="0.25">
      <c r="A307" s="163" t="s">
        <v>337</v>
      </c>
      <c r="B307" s="134">
        <v>3</v>
      </c>
      <c r="C307" s="161" t="s">
        <v>339</v>
      </c>
      <c r="D307" s="170"/>
    </row>
    <row r="308" spans="1:4" x14ac:dyDescent="0.25">
      <c r="A308" s="165" t="s">
        <v>338</v>
      </c>
      <c r="B308" s="134">
        <v>4</v>
      </c>
      <c r="C308" s="161" t="s">
        <v>340</v>
      </c>
      <c r="D308" s="170"/>
    </row>
    <row r="309" spans="1:4" x14ac:dyDescent="0.25">
      <c r="A309" s="163" t="s">
        <v>359</v>
      </c>
      <c r="B309" s="134">
        <v>5</v>
      </c>
      <c r="C309" s="161" t="s">
        <v>341</v>
      </c>
      <c r="D309" s="170"/>
    </row>
    <row r="310" spans="1:4" x14ac:dyDescent="0.25">
      <c r="A310" s="165" t="s">
        <v>360</v>
      </c>
      <c r="B310" s="134">
        <v>6</v>
      </c>
      <c r="C310" s="161" t="s">
        <v>342</v>
      </c>
      <c r="D310" s="170"/>
    </row>
  </sheetData>
  <sheetProtection password="CC59" sheet="1" objects="1" scenarios="1" formatColumns="0" formatRows="0" selectLockedCells="1"/>
  <phoneticPr fontId="14" type="noConversion"/>
  <printOptions headings="1"/>
  <pageMargins left="1.0236220472440944" right="0.23622047244094491" top="0.35433070866141736" bottom="0.35433070866141736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6"/>
  <sheetViews>
    <sheetView workbookViewId="0">
      <selection activeCell="F1" sqref="F1"/>
    </sheetView>
  </sheetViews>
  <sheetFormatPr defaultRowHeight="15" x14ac:dyDescent="0.25"/>
  <cols>
    <col min="1" max="1" width="6.140625" customWidth="1"/>
    <col min="2" max="2" width="5" style="18" bestFit="1" customWidth="1"/>
    <col min="3" max="3" width="34.85546875" bestFit="1" customWidth="1"/>
    <col min="4" max="4" width="34.7109375" customWidth="1"/>
    <col min="5" max="5" width="8.85546875" customWidth="1"/>
    <col min="6" max="6" width="4.28515625" customWidth="1"/>
    <col min="7" max="7" width="38.42578125" bestFit="1" customWidth="1"/>
    <col min="8" max="8" width="93" customWidth="1"/>
  </cols>
  <sheetData>
    <row r="1" spans="1:8" ht="21" x14ac:dyDescent="0.35">
      <c r="A1" s="31" t="s">
        <v>24</v>
      </c>
      <c r="B1" s="32"/>
      <c r="C1" s="33"/>
      <c r="D1" s="33"/>
      <c r="E1" s="47" t="s">
        <v>65</v>
      </c>
      <c r="F1" s="42">
        <f>COUNTBLANK(KodyOC)</f>
        <v>41</v>
      </c>
      <c r="G1" s="49" t="s">
        <v>70</v>
      </c>
      <c r="H1" s="84" t="str">
        <f>(IF(G5&lt;&gt;"",A5&amp;" - "&amp;G5&amp;", ","")&amp;""&amp;IF(G6&lt;&gt;"",A6&amp;" - "&amp;G6&amp;", ","")&amp;""&amp;IF(G7&lt;&gt;"",A7&amp;" - "&amp;G7&amp;", ","")&amp;""&amp;IF(G8&lt;&gt;"",A8&amp;" - "&amp;G8&amp;", ","")&amp;""&amp;IF(G9&lt;&gt;"",A9&amp;" - "&amp;G9&amp;", ","")&amp;""&amp;IF(G10&lt;&gt;"",A10&amp;" - "&amp;G10&amp;", ","")&amp;""&amp;IF(G11&lt;&gt;"",A11&amp;" - "&amp;G11&amp;", ","")&amp;""&amp;IF(G12&lt;&gt;"",A12&amp;" - "&amp;G12&amp;", ","")&amp;""&amp;IF(G13&lt;&gt;"",A13&amp;" - "&amp;G13&amp;", ","")&amp;""&amp;IF(G14&lt;&gt;"",A14&amp;" - "&amp;G14&amp;", ","")&amp;""&amp;IF(G15&lt;&gt;"",A15&amp;" - "&amp;G15&amp;", ","")&amp;""&amp;IF(G16&lt;&gt;"",A16&amp;" - "&amp;G16&amp;", ","")&amp;""&amp;IF(G17&lt;&gt;"",A17&amp;" - "&amp;G17&amp;", ","")&amp;""&amp;IF(G18&lt;&gt;"",A18&amp;" - "&amp;G18&amp;", ","")&amp;""&amp;IF(G19&lt;&gt;"",A19&amp;" - "&amp;G19&amp;", ","")&amp;""&amp;IF(G20&lt;&gt;"",A20&amp;" - "&amp;G20&amp;", ","")&amp;""&amp;IF(G21&lt;&gt;"",A21&amp;" - "&amp;G21&amp;", ","")&amp;""&amp;IF(G22&lt;&gt;"",A22&amp;" - "&amp;G22&amp;", ","")&amp;""&amp;IF(G23&lt;&gt;"",A23&amp;" - "&amp;G23&amp;", ","")&amp;""&amp;IF(G24&lt;&gt;"",A24&amp;" - "&amp;G24&amp;", ","")&amp;""&amp;IF(G25&lt;&gt;"",A25&amp;" - "&amp;G25&amp;", ","")&amp;""&amp;IF(G26&lt;&gt;"",A26&amp;" - "&amp;G26&amp;", ","")&amp;""&amp;IF(G27&lt;&gt;"",A27&amp;" - "&amp;G27&amp;", ","")&amp;""&amp;IF(G28&lt;&gt;"",A28&amp;" - "&amp;G28&amp;", ","")&amp;""&amp;IF(G29&lt;&gt;"",A29&amp;" - "&amp;G29&amp;", ","")&amp;""&amp;IF(G30&lt;&gt;"",A30&amp;" - "&amp;G30&amp;", ","")&amp;""&amp;IF(G31&lt;&gt;"",A31&amp;" - "&amp;G31&amp;", ","")&amp;""&amp;IF(G32&lt;&gt;"",A32&amp;" - "&amp;G32&amp;", ","")&amp;""&amp;IF(G33&lt;&gt;"",A33&amp;" - "&amp;G33&amp;", ","")&amp;""&amp;IF(G34&lt;&gt;"",A34&amp;" - "&amp;G34&amp;", ","")&amp;""&amp;IF(G35&lt;&gt;"",A35&amp;" - "&amp;G35&amp;", ","")&amp;""&amp;IF(G36&lt;&gt;"",A36&amp;" - "&amp;G36&amp;", ","")&amp;""&amp;IF(G37&lt;&gt;"",A37&amp;" - "&amp;G37&amp;", ","")&amp;""&amp;IF(G38&lt;&gt;"",A38&amp;" - "&amp;G38&amp;", ","")&amp;""&amp;IF(G39&lt;&gt;"",A39&amp;" - "&amp;G39&amp;", ","")&amp;""&amp;IF(G40&lt;&gt;"",A40&amp;" - "&amp;G40&amp;", ","")&amp;""&amp;IF(G41&lt;&gt;"",A41&amp;" - "&amp;G41&amp;", ","")&amp;""&amp;IF(G42&lt;&gt;"",A42&amp;" - "&amp;G42&amp;", ","")&amp;""&amp;IF(G43&lt;&gt;"",A43&amp;" - "&amp;G43&amp;", ","")&amp;""&amp;IF(G44&lt;&gt;"",A44&amp;" - "&amp;G44&amp;", ","")&amp;""&amp;IF(G45&lt;&gt;"",A45&amp;" - "&amp;G45&amp;", ","")&amp;""&amp;IF(G46&lt;&gt;"",A46&amp;" - "&amp;G46&amp;", ","")&amp;""&amp;IF(G47&lt;&gt;"",A47&amp;" - "&amp;G47&amp;", ","")&amp;""&amp;IF(G48&lt;&gt;"",A48&amp;" - "&amp;G48&amp;", ","")&amp;""&amp;IF(G49&lt;&gt;"",A49&amp;" - "&amp;G49&amp;", ","")&amp;""&amp;IF(G50&lt;&gt;"",A50&amp;" - "&amp;G50&amp;", ","")&amp;""&amp;IF(G51&lt;&gt;"",A51&amp;" - "&amp;G51&amp;", ","")&amp;""&amp;IF(G52&lt;&gt;"",A52&amp;" - "&amp;G52&amp;", ","")&amp;""&amp;IF(G53&lt;&gt;"",A53&amp;" - "&amp;G53&amp;", ","")&amp;""&amp;IF(G54&lt;&gt;"",A54&amp;" - "&amp;G54&amp;", ","")&amp;""&amp;IF(G55&lt;&gt;"",A55&amp;" - "&amp;G55&amp;", ","")&amp;""&amp;IF(G56&lt;&gt;"",A56&amp;" - "&amp;G56&amp;", ",""))</f>
        <v/>
      </c>
    </row>
    <row r="2" spans="1:8" ht="14.25" customHeight="1" thickBot="1" x14ac:dyDescent="0.4">
      <c r="A2" s="31"/>
      <c r="B2" s="32"/>
      <c r="D2" s="33"/>
      <c r="E2" s="48" t="s">
        <v>69</v>
      </c>
      <c r="F2" s="42">
        <f>COUNTBLANK(KodyOC_HW)</f>
        <v>11</v>
      </c>
      <c r="G2" s="56"/>
      <c r="H2" s="34"/>
    </row>
    <row r="3" spans="1:8" ht="14.25" customHeight="1" thickBot="1" x14ac:dyDescent="0.3">
      <c r="A3" s="62" t="s">
        <v>110</v>
      </c>
      <c r="B3" s="63" t="s">
        <v>111</v>
      </c>
      <c r="C3" s="64" t="s">
        <v>112</v>
      </c>
      <c r="D3" s="65" t="s">
        <v>113</v>
      </c>
      <c r="E3" s="66"/>
      <c r="F3" s="42"/>
      <c r="G3" s="56"/>
      <c r="H3" s="34"/>
    </row>
    <row r="4" spans="1:8" ht="15.75" x14ac:dyDescent="0.25">
      <c r="A4" s="35">
        <v>0</v>
      </c>
      <c r="B4" s="145" t="s">
        <v>286</v>
      </c>
      <c r="C4" s="36"/>
      <c r="D4" s="36"/>
      <c r="E4" s="33"/>
      <c r="F4" s="33"/>
      <c r="G4" s="46" t="s">
        <v>66</v>
      </c>
      <c r="H4" s="33"/>
    </row>
    <row r="5" spans="1:8" x14ac:dyDescent="0.25">
      <c r="A5" s="37">
        <f>Specifikace!B5</f>
        <v>5</v>
      </c>
      <c r="B5" s="38" t="str">
        <f>Specifikace!E5</f>
        <v/>
      </c>
      <c r="C5" s="39" t="str">
        <f>Specifikace!C5</f>
        <v>Provedení měřicího čidla</v>
      </c>
      <c r="D5" s="40">
        <f>Specifikace!D5</f>
        <v>0</v>
      </c>
      <c r="E5" s="36"/>
      <c r="F5" s="33"/>
      <c r="G5" s="81" t="str">
        <f>IF(MID(B5,1,1)="X",C5,"")</f>
        <v/>
      </c>
      <c r="H5" s="33"/>
    </row>
    <row r="6" spans="1:8" x14ac:dyDescent="0.25">
      <c r="A6" s="37">
        <f>Specifikace!B6</f>
        <v>6</v>
      </c>
      <c r="B6" s="38" t="str">
        <f>Specifikace!E6</f>
        <v/>
      </c>
      <c r="C6" s="39" t="str">
        <f>Specifikace!C6</f>
        <v>Vybavení a provedení průtokoměru</v>
      </c>
      <c r="D6" s="40">
        <f>Specifikace!D6</f>
        <v>0</v>
      </c>
      <c r="E6" s="36"/>
      <c r="F6" s="33"/>
      <c r="G6" s="82" t="str">
        <f>IF(MID(B6,1,1)="X",C6,"")</f>
        <v/>
      </c>
      <c r="H6" s="33"/>
    </row>
    <row r="7" spans="1:8" x14ac:dyDescent="0.25">
      <c r="A7" s="37" t="str">
        <f>Specifikace!B7</f>
        <v xml:space="preserve"> - </v>
      </c>
      <c r="B7" s="38" t="str">
        <f>Specifikace!E7</f>
        <v>.1-</v>
      </c>
      <c r="C7" s="39" t="str">
        <f>Specifikace!C7</f>
        <v>TECHNICKÉ PARAMETRY</v>
      </c>
      <c r="D7" s="40" t="str">
        <f>Specifikace!D7</f>
        <v xml:space="preserve"> - </v>
      </c>
      <c r="E7" s="36"/>
      <c r="F7" s="33"/>
      <c r="G7" s="82" t="str">
        <f t="shared" ref="G7:G56" si="0">IF(MID(B7,1,1)="X",C7,"")</f>
        <v/>
      </c>
      <c r="H7" s="33"/>
    </row>
    <row r="8" spans="1:8" x14ac:dyDescent="0.25">
      <c r="A8" s="37">
        <f>Specifikace!B8</f>
        <v>8</v>
      </c>
      <c r="B8" s="38" t="str">
        <f>Specifikace!E8</f>
        <v/>
      </c>
      <c r="C8" s="39" t="str">
        <f>Specifikace!C8</f>
        <v>Dimenze čidla  ~  maximální průtok Q₄ (qs)</v>
      </c>
      <c r="D8" s="40">
        <f>Specifikace!D8</f>
        <v>0</v>
      </c>
      <c r="E8" s="36"/>
      <c r="F8" s="33"/>
      <c r="G8" s="82" t="str">
        <f t="shared" si="0"/>
        <v/>
      </c>
      <c r="H8" s="33"/>
    </row>
    <row r="9" spans="1:8" x14ac:dyDescent="0.25">
      <c r="A9" s="37">
        <f>Specifikace!B9</f>
        <v>9</v>
      </c>
      <c r="B9" s="38" t="str">
        <f>Specifikace!E9</f>
        <v/>
      </c>
      <c r="C9" s="39" t="str">
        <f>Specifikace!C9</f>
        <v>Příruby čidla</v>
      </c>
      <c r="D9" s="40">
        <f>Specifikace!D9</f>
        <v>0</v>
      </c>
      <c r="E9" s="36"/>
      <c r="F9" s="33"/>
      <c r="G9" s="82" t="str">
        <f t="shared" si="0"/>
        <v/>
      </c>
      <c r="H9" s="33"/>
    </row>
    <row r="10" spans="1:8" x14ac:dyDescent="0.25">
      <c r="A10" s="37">
        <f>Specifikace!B10</f>
        <v>10</v>
      </c>
      <c r="B10" s="38" t="str">
        <f>Specifikace!E10</f>
        <v/>
      </c>
      <c r="C10" s="39" t="str">
        <f>Specifikace!C10</f>
        <v>Materiál a povrchová úprava čidla</v>
      </c>
      <c r="D10" s="40">
        <f>Specifikace!D10</f>
        <v>0</v>
      </c>
      <c r="E10" s="36"/>
      <c r="F10" s="33"/>
      <c r="G10" s="82" t="str">
        <f t="shared" si="0"/>
        <v/>
      </c>
      <c r="H10" s="33"/>
    </row>
    <row r="11" spans="1:8" x14ac:dyDescent="0.25">
      <c r="A11" s="37">
        <f>Specifikace!B11</f>
        <v>11</v>
      </c>
      <c r="B11" s="38" t="str">
        <f>Specifikace!E11</f>
        <v/>
      </c>
      <c r="C11" s="39" t="str">
        <f>Specifikace!C11</f>
        <v>Krytí čidla se sondami</v>
      </c>
      <c r="D11" s="40">
        <f>Specifikace!D11</f>
        <v>0</v>
      </c>
      <c r="E11" s="36"/>
      <c r="F11" s="33"/>
      <c r="G11" s="82" t="str">
        <f t="shared" si="0"/>
        <v/>
      </c>
      <c r="H11" s="33"/>
    </row>
    <row r="12" spans="1:8" x14ac:dyDescent="0.25">
      <c r="A12" s="37">
        <f>Specifikace!B12</f>
        <v>12</v>
      </c>
      <c r="B12" s="38" t="str">
        <f>Specifikace!E12</f>
        <v/>
      </c>
      <c r="C12" s="39" t="str">
        <f>Specifikace!C12</f>
        <v>Jmenovitý tlak</v>
      </c>
      <c r="D12" s="40">
        <f>Specifikace!D12</f>
        <v>0</v>
      </c>
      <c r="E12" s="36"/>
      <c r="F12" s="33"/>
      <c r="G12" s="82" t="str">
        <f t="shared" si="0"/>
        <v/>
      </c>
      <c r="H12" s="33"/>
    </row>
    <row r="13" spans="1:8" x14ac:dyDescent="0.25">
      <c r="A13" s="37">
        <f>Specifikace!B13</f>
        <v>13</v>
      </c>
      <c r="B13" s="38" t="str">
        <f>Specifikace!E13</f>
        <v/>
      </c>
      <c r="C13" s="39" t="str">
        <f>Specifikace!C13</f>
        <v>Možnost vzniku podtlaku</v>
      </c>
      <c r="D13" s="40">
        <f>Specifikace!D13</f>
        <v>0</v>
      </c>
      <c r="E13" s="36"/>
      <c r="F13" s="33"/>
      <c r="G13" s="82" t="str">
        <f t="shared" si="0"/>
        <v/>
      </c>
      <c r="H13" s="33"/>
    </row>
    <row r="14" spans="1:8" x14ac:dyDescent="0.25">
      <c r="A14" s="37">
        <f>Specifikace!B14</f>
        <v>14</v>
      </c>
      <c r="B14" s="38" t="str">
        <f>Specifikace!E14</f>
        <v/>
      </c>
      <c r="C14" s="39" t="str">
        <f>Specifikace!C14</f>
        <v>Maximální provozní teplota média (TSmax)</v>
      </c>
      <c r="D14" s="40">
        <f>Specifikace!D14</f>
        <v>0</v>
      </c>
      <c r="E14" s="36"/>
      <c r="F14" s="33"/>
      <c r="G14" s="82" t="str">
        <f t="shared" si="0"/>
        <v/>
      </c>
      <c r="H14" s="33"/>
    </row>
    <row r="15" spans="1:8" x14ac:dyDescent="0.25">
      <c r="A15" s="37">
        <f>Specifikace!B15</f>
        <v>15</v>
      </c>
      <c r="B15" s="38" t="str">
        <f>Specifikace!E15</f>
        <v/>
      </c>
      <c r="C15" s="39" t="str">
        <f>Specifikace!C15</f>
        <v>Napájení</v>
      </c>
      <c r="D15" s="40">
        <f>Specifikace!D15</f>
        <v>0</v>
      </c>
      <c r="E15" s="36"/>
      <c r="F15" s="33"/>
      <c r="G15" s="82" t="str">
        <f t="shared" si="0"/>
        <v/>
      </c>
      <c r="H15" s="33"/>
    </row>
    <row r="16" spans="1:8" x14ac:dyDescent="0.25">
      <c r="A16" s="37">
        <f>Specifikace!B16</f>
        <v>16</v>
      </c>
      <c r="B16" s="38" t="str">
        <f>Specifikace!E16</f>
        <v/>
      </c>
      <c r="C16" s="39" t="str">
        <f>Specifikace!C16</f>
        <v>Skříňka vyhodnocovací elektroniky</v>
      </c>
      <c r="D16" s="40">
        <f>Specifikace!D16</f>
        <v>0</v>
      </c>
      <c r="E16" s="36"/>
      <c r="F16" s="33"/>
      <c r="G16" s="82" t="str">
        <f t="shared" si="0"/>
        <v/>
      </c>
      <c r="H16" s="33"/>
    </row>
    <row r="17" spans="1:8" x14ac:dyDescent="0.25">
      <c r="A17" s="37">
        <f>Specifikace!B17</f>
        <v>17</v>
      </c>
      <c r="B17" s="38" t="str">
        <f>Specifikace!E17</f>
        <v>0</v>
      </c>
      <c r="C17" s="39" t="str">
        <f>Specifikace!C17</f>
        <v>Druh tekutiny dle PED 2014/68/EU</v>
      </c>
      <c r="D17" s="40">
        <f>Specifikace!D17</f>
        <v>0</v>
      </c>
      <c r="E17" s="36"/>
      <c r="F17" s="33"/>
      <c r="G17" s="82" t="str">
        <f t="shared" si="0"/>
        <v/>
      </c>
      <c r="H17" s="33"/>
    </row>
    <row r="18" spans="1:8" x14ac:dyDescent="0.25">
      <c r="A18" s="37">
        <f>Specifikace!B18</f>
        <v>18</v>
      </c>
      <c r="B18" s="38" t="str">
        <f>Specifikace!E18</f>
        <v>0</v>
      </c>
      <c r="C18" s="39" t="str">
        <f>Specifikace!C18</f>
        <v>Kategorie dle PED 2014/68/EU</v>
      </c>
      <c r="D18" s="40">
        <f>Specifikace!D18</f>
        <v>0</v>
      </c>
      <c r="E18" s="36"/>
      <c r="F18" s="33"/>
      <c r="G18" s="82" t="str">
        <f t="shared" si="0"/>
        <v/>
      </c>
      <c r="H18" s="33"/>
    </row>
    <row r="19" spans="1:8" x14ac:dyDescent="0.25">
      <c r="A19" s="37">
        <f>Specifikace!B19</f>
        <v>19</v>
      </c>
      <c r="B19" s="38" t="str">
        <f>Specifikace!E19</f>
        <v/>
      </c>
      <c r="C19" s="39" t="str">
        <f>Specifikace!C19</f>
        <v>Měřená tekutina</v>
      </c>
      <c r="D19" s="40">
        <f>Specifikace!D19</f>
        <v>0</v>
      </c>
      <c r="E19" s="36"/>
      <c r="F19" s="33"/>
      <c r="G19" s="82" t="str">
        <f t="shared" si="0"/>
        <v/>
      </c>
      <c r="H19" s="33"/>
    </row>
    <row r="20" spans="1:8" x14ac:dyDescent="0.25">
      <c r="A20" s="37">
        <f>Specifikace!B20</f>
        <v>20</v>
      </c>
      <c r="B20" s="38" t="str">
        <f>Specifikace!E20</f>
        <v/>
      </c>
      <c r="C20" s="39" t="str">
        <f>Specifikace!C20</f>
        <v>Upřesnění měřené tekutiny</v>
      </c>
      <c r="D20" s="40">
        <f>Specifikace!D20</f>
        <v>0</v>
      </c>
      <c r="E20" s="36"/>
      <c r="F20" s="33"/>
      <c r="G20" s="82" t="str">
        <f t="shared" si="0"/>
        <v/>
      </c>
      <c r="H20" s="33"/>
    </row>
    <row r="21" spans="1:8" x14ac:dyDescent="0.25">
      <c r="A21" s="37">
        <f>Specifikace!B21</f>
        <v>21</v>
      </c>
      <c r="B21" s="38" t="str">
        <f>Specifikace!E21</f>
        <v/>
      </c>
      <c r="C21" s="39" t="str">
        <f>Specifikace!C21</f>
        <v>Délka kabelů</v>
      </c>
      <c r="D21" s="40">
        <f>Specifikace!D21</f>
        <v>0</v>
      </c>
      <c r="E21" s="36"/>
      <c r="F21" s="33"/>
      <c r="G21" s="82" t="str">
        <f t="shared" si="0"/>
        <v/>
      </c>
      <c r="H21" s="33"/>
    </row>
    <row r="22" spans="1:8" x14ac:dyDescent="0.25">
      <c r="A22" s="37" t="str">
        <f>Specifikace!B22</f>
        <v xml:space="preserve"> - </v>
      </c>
      <c r="B22" s="38" t="str">
        <f>Specifikace!E22</f>
        <v>-</v>
      </c>
      <c r="C22" s="39" t="str">
        <f>Specifikace!C22</f>
        <v>NASTAVENÍ PRŮTOKOMĚRU</v>
      </c>
      <c r="D22" s="40" t="str">
        <f>Specifikace!D22</f>
        <v xml:space="preserve"> - </v>
      </c>
      <c r="E22" s="36"/>
      <c r="F22" s="33"/>
      <c r="G22" s="82" t="str">
        <f t="shared" si="0"/>
        <v/>
      </c>
      <c r="H22" s="33"/>
    </row>
    <row r="23" spans="1:8" x14ac:dyDescent="0.25">
      <c r="A23" s="37">
        <f>Specifikace!B23</f>
        <v>23</v>
      </c>
      <c r="B23" s="38" t="str">
        <f>Specifikace!E23</f>
        <v/>
      </c>
      <c r="C23" s="39" t="str">
        <f>Specifikace!C23</f>
        <v>Druh měření</v>
      </c>
      <c r="D23" s="40">
        <f>Specifikace!D23</f>
        <v>0</v>
      </c>
      <c r="E23" s="36"/>
      <c r="F23" s="33"/>
      <c r="G23" s="82" t="str">
        <f t="shared" si="0"/>
        <v/>
      </c>
      <c r="H23" s="33"/>
    </row>
    <row r="24" spans="1:8" x14ac:dyDescent="0.25">
      <c r="A24" s="37">
        <f>Specifikace!B24</f>
        <v>24</v>
      </c>
      <c r="B24" s="38" t="str">
        <f>Specifikace!E24</f>
        <v/>
      </c>
      <c r="C24" s="39" t="str">
        <f>Specifikace!C24</f>
        <v>Necitlivost měření</v>
      </c>
      <c r="D24" s="40">
        <f>Specifikace!D24</f>
        <v>0</v>
      </c>
      <c r="E24" s="36"/>
      <c r="F24" s="33"/>
      <c r="G24" s="82" t="str">
        <f t="shared" si="0"/>
        <v/>
      </c>
      <c r="H24" s="33"/>
    </row>
    <row r="25" spans="1:8" x14ac:dyDescent="0.25">
      <c r="A25" s="37">
        <f>Specifikace!B25</f>
        <v>25</v>
      </c>
      <c r="B25" s="38" t="str">
        <f>Specifikace!E25</f>
        <v/>
      </c>
      <c r="C25" s="39" t="str">
        <f>Specifikace!C25</f>
        <v>Impulzní číslo</v>
      </c>
      <c r="D25" s="40">
        <f>Specifikace!D25</f>
        <v>0</v>
      </c>
      <c r="E25" s="36"/>
      <c r="F25" s="33"/>
      <c r="G25" s="82" t="str">
        <f t="shared" si="0"/>
        <v/>
      </c>
      <c r="H25" s="33"/>
    </row>
    <row r="26" spans="1:8" x14ac:dyDescent="0.25">
      <c r="A26" s="37">
        <f>Specifikace!B26</f>
        <v>26</v>
      </c>
      <c r="B26" s="38" t="str">
        <f>Specifikace!E26</f>
        <v/>
      </c>
      <c r="C26" s="39" t="str">
        <f>Specifikace!C26</f>
        <v>Jednotka impulzního čísla</v>
      </c>
      <c r="D26" s="40">
        <f>Specifikace!D26</f>
        <v>0</v>
      </c>
      <c r="E26" s="36"/>
      <c r="F26" s="33"/>
      <c r="G26" s="82" t="str">
        <f t="shared" si="0"/>
        <v/>
      </c>
      <c r="H26" s="33"/>
    </row>
    <row r="27" spans="1:8" x14ac:dyDescent="0.25">
      <c r="A27" s="37">
        <f>Specifikace!B27</f>
        <v>27</v>
      </c>
      <c r="B27" s="38" t="str">
        <f>Specifikace!E27</f>
        <v/>
      </c>
      <c r="C27" s="39" t="str">
        <f>Specifikace!C27</f>
        <v>Frekvenční výstup</v>
      </c>
      <c r="D27" s="40">
        <f>Specifikace!D27</f>
        <v>0</v>
      </c>
      <c r="E27" s="36"/>
      <c r="F27" s="33"/>
      <c r="G27" s="82" t="str">
        <f t="shared" si="0"/>
        <v/>
      </c>
      <c r="H27" s="33"/>
    </row>
    <row r="28" spans="1:8" x14ac:dyDescent="0.25">
      <c r="A28" s="37">
        <f>Specifikace!B28</f>
        <v>28</v>
      </c>
      <c r="B28" s="38" t="str">
        <f>Specifikace!E28</f>
        <v/>
      </c>
      <c r="C28" s="39" t="str">
        <f>Specifikace!C28</f>
        <v>Proudový výstup</v>
      </c>
      <c r="D28" s="40">
        <f>Specifikace!D28</f>
        <v>0</v>
      </c>
      <c r="E28" s="36"/>
      <c r="F28" s="33"/>
      <c r="G28" s="82" t="str">
        <f t="shared" si="0"/>
        <v/>
      </c>
      <c r="H28" s="33"/>
    </row>
    <row r="29" spans="1:8" x14ac:dyDescent="0.25">
      <c r="A29" s="37">
        <f>Specifikace!B29</f>
        <v>29</v>
      </c>
      <c r="B29" s="38" t="str">
        <f>Specifikace!E29</f>
        <v/>
      </c>
      <c r="C29" s="39" t="str">
        <f>Specifikace!C29</f>
        <v>Binární výstup</v>
      </c>
      <c r="D29" s="40">
        <f>Specifikace!D29</f>
        <v>0</v>
      </c>
      <c r="E29" s="36"/>
      <c r="F29" s="33"/>
      <c r="G29" s="82" t="str">
        <f t="shared" si="0"/>
        <v/>
      </c>
      <c r="H29" s="33"/>
    </row>
    <row r="30" spans="1:8" x14ac:dyDescent="0.25">
      <c r="A30" s="37">
        <f>Specifikace!B30</f>
        <v>30</v>
      </c>
      <c r="B30" s="38" t="str">
        <f>Specifikace!E30</f>
        <v/>
      </c>
      <c r="C30" s="39" t="str">
        <f>Specifikace!C30</f>
        <v>Displej - 1. řádek</v>
      </c>
      <c r="D30" s="40" t="str">
        <f>Specifikace!D30</f>
        <v/>
      </c>
      <c r="E30" s="36"/>
      <c r="F30" s="33"/>
      <c r="G30" s="82" t="str">
        <f t="shared" si="0"/>
        <v/>
      </c>
      <c r="H30" s="33"/>
    </row>
    <row r="31" spans="1:8" x14ac:dyDescent="0.25">
      <c r="A31" s="37">
        <f>Specifikace!B31</f>
        <v>31</v>
      </c>
      <c r="B31" s="38" t="str">
        <f>Specifikace!E31</f>
        <v/>
      </c>
      <c r="C31" s="39" t="str">
        <f>Specifikace!C31</f>
        <v>Displej - 2. řádek</v>
      </c>
      <c r="D31" s="40">
        <f>Specifikace!D31</f>
        <v>0</v>
      </c>
      <c r="E31" s="36"/>
      <c r="F31" s="33"/>
      <c r="G31" s="82" t="str">
        <f t="shared" si="0"/>
        <v/>
      </c>
      <c r="H31" s="33"/>
    </row>
    <row r="32" spans="1:8" x14ac:dyDescent="0.25">
      <c r="A32" s="37">
        <f>Specifikace!B32</f>
        <v>32</v>
      </c>
      <c r="B32" s="38" t="str">
        <f>Specifikace!E32</f>
        <v/>
      </c>
      <c r="C32" s="39" t="str">
        <f>Specifikace!C32</f>
        <v>Jednotka objemu</v>
      </c>
      <c r="D32" s="40">
        <f>Specifikace!D32</f>
        <v>0</v>
      </c>
      <c r="E32" s="36"/>
      <c r="F32" s="33"/>
      <c r="G32" s="82" t="str">
        <f t="shared" si="0"/>
        <v/>
      </c>
      <c r="H32" s="33"/>
    </row>
    <row r="33" spans="1:8" x14ac:dyDescent="0.25">
      <c r="A33" s="37">
        <f>Specifikace!B33</f>
        <v>33</v>
      </c>
      <c r="B33" s="38" t="str">
        <f>Specifikace!E33</f>
        <v/>
      </c>
      <c r="C33" s="39" t="str">
        <f>Specifikace!C33</f>
        <v>Jednotka objemového průtoku</v>
      </c>
      <c r="D33" s="40">
        <f>Specifikace!D33</f>
        <v>0</v>
      </c>
      <c r="E33" s="36"/>
      <c r="F33" s="33"/>
      <c r="G33" s="82" t="str">
        <f t="shared" si="0"/>
        <v/>
      </c>
      <c r="H33" s="33"/>
    </row>
    <row r="34" spans="1:8" x14ac:dyDescent="0.25">
      <c r="A34" s="37">
        <f>Specifikace!B34</f>
        <v>34</v>
      </c>
      <c r="B34" s="38" t="str">
        <f>Specifikace!E34</f>
        <v/>
      </c>
      <c r="C34" s="39" t="str">
        <f>Specifikace!C34</f>
        <v>Jednotka hmotnosti</v>
      </c>
      <c r="D34" s="40">
        <f>Specifikace!D34</f>
        <v>0</v>
      </c>
      <c r="E34" s="36"/>
      <c r="F34" s="33"/>
      <c r="G34" s="82" t="str">
        <f t="shared" si="0"/>
        <v/>
      </c>
      <c r="H34" s="33"/>
    </row>
    <row r="35" spans="1:8" x14ac:dyDescent="0.25">
      <c r="A35" s="37">
        <f>Specifikace!B35</f>
        <v>35</v>
      </c>
      <c r="B35" s="38" t="str">
        <f>Specifikace!E35</f>
        <v/>
      </c>
      <c r="C35" s="39" t="str">
        <f>Specifikace!C35</f>
        <v>Jednotka hmotnostního průtoku</v>
      </c>
      <c r="D35" s="40">
        <f>Specifikace!D35</f>
        <v>0</v>
      </c>
      <c r="E35" s="36"/>
      <c r="F35" s="33"/>
      <c r="G35" s="82" t="str">
        <f t="shared" si="0"/>
        <v/>
      </c>
      <c r="H35" s="33"/>
    </row>
    <row r="36" spans="1:8" x14ac:dyDescent="0.25">
      <c r="A36" s="37">
        <f>Specifikace!B36</f>
        <v>36</v>
      </c>
      <c r="B36" s="38" t="str">
        <f>Specifikace!E36</f>
        <v/>
      </c>
      <c r="C36" s="39" t="str">
        <f>Specifikace!C36</f>
        <v>Jednotka teploty</v>
      </c>
      <c r="D36" s="40">
        <f>Specifikace!D36</f>
        <v>0</v>
      </c>
      <c r="E36" s="36"/>
      <c r="F36" s="33"/>
      <c r="G36" s="82" t="str">
        <f t="shared" si="0"/>
        <v/>
      </c>
      <c r="H36" s="33"/>
    </row>
    <row r="37" spans="1:8" x14ac:dyDescent="0.25">
      <c r="A37" s="37">
        <f>Specifikace!B37</f>
        <v>37</v>
      </c>
      <c r="B37" s="38" t="str">
        <f>Specifikace!E37</f>
        <v/>
      </c>
      <c r="C37" s="39" t="str">
        <f>Specifikace!C37</f>
        <v>Jednotka rychlosti</v>
      </c>
      <c r="D37" s="40">
        <f>Specifikace!D37</f>
        <v>0</v>
      </c>
      <c r="E37" s="36"/>
      <c r="F37" s="33"/>
      <c r="G37" s="82" t="str">
        <f t="shared" si="0"/>
        <v/>
      </c>
      <c r="H37" s="33"/>
    </row>
    <row r="38" spans="1:8" x14ac:dyDescent="0.25">
      <c r="A38" s="37">
        <f>Specifikace!B38</f>
        <v>38</v>
      </c>
      <c r="B38" s="38" t="str">
        <f>Specifikace!E38</f>
        <v/>
      </c>
      <c r="C38" s="39" t="str">
        <f>Specifikace!C38</f>
        <v>Zobrazovací jazyk</v>
      </c>
      <c r="D38" s="40">
        <f>Specifikace!D38</f>
        <v>0</v>
      </c>
      <c r="E38" s="36"/>
      <c r="F38" s="33"/>
      <c r="G38" s="82" t="str">
        <f t="shared" si="0"/>
        <v/>
      </c>
      <c r="H38" s="33"/>
    </row>
    <row r="39" spans="1:8" x14ac:dyDescent="0.25">
      <c r="A39" s="37" t="str">
        <f>Specifikace!B39</f>
        <v xml:space="preserve"> - </v>
      </c>
      <c r="B39" s="38" t="str">
        <f>Specifikace!E39</f>
        <v>-</v>
      </c>
      <c r="C39" s="39" t="str">
        <f>Specifikace!C39</f>
        <v>NASTAVENÍ KOMUNIKACE</v>
      </c>
      <c r="D39" s="40" t="str">
        <f>Specifikace!D39</f>
        <v xml:space="preserve"> - </v>
      </c>
      <c r="E39" s="36"/>
      <c r="F39" s="33"/>
      <c r="G39" s="82" t="str">
        <f t="shared" si="0"/>
        <v/>
      </c>
      <c r="H39" s="33"/>
    </row>
    <row r="40" spans="1:8" x14ac:dyDescent="0.25">
      <c r="A40" s="37">
        <f>Specifikace!B40</f>
        <v>40</v>
      </c>
      <c r="B40" s="38" t="str">
        <f>Specifikace!E40</f>
        <v/>
      </c>
      <c r="C40" s="39" t="str">
        <f>Specifikace!C40</f>
        <v>Rozhraní</v>
      </c>
      <c r="D40" s="40">
        <f>Specifikace!D40</f>
        <v>0</v>
      </c>
      <c r="E40" s="36"/>
      <c r="F40" s="33"/>
      <c r="G40" s="82" t="str">
        <f t="shared" si="0"/>
        <v/>
      </c>
      <c r="H40" s="33"/>
    </row>
    <row r="41" spans="1:8" x14ac:dyDescent="0.25">
      <c r="A41" s="37">
        <f>Specifikace!B41</f>
        <v>41</v>
      </c>
      <c r="B41" s="38" t="str">
        <f>TEXT(Specifikace!E41,"000")</f>
        <v/>
      </c>
      <c r="C41" s="39" t="str">
        <f>Specifikace!C41</f>
        <v>Adresa - zapište z rozsahu 1 až 255</v>
      </c>
      <c r="D41" s="40">
        <f>Specifikace!D41</f>
        <v>0</v>
      </c>
      <c r="E41" s="36"/>
      <c r="F41" s="33"/>
      <c r="G41" s="82" t="str">
        <f t="shared" si="0"/>
        <v/>
      </c>
      <c r="H41" s="33"/>
    </row>
    <row r="42" spans="1:8" x14ac:dyDescent="0.25">
      <c r="A42" s="37">
        <f>Specifikace!B42</f>
        <v>42</v>
      </c>
      <c r="B42" s="38" t="str">
        <f>TEXT(Specifikace!E42,"000")</f>
        <v/>
      </c>
      <c r="C42" s="39" t="str">
        <f>Specifikace!C42</f>
        <v>Skupina - zapište z rozsahu 1 až 255</v>
      </c>
      <c r="D42" s="40">
        <f>Specifikace!D42</f>
        <v>0</v>
      </c>
      <c r="E42" s="36"/>
      <c r="F42" s="33"/>
      <c r="G42" s="82" t="str">
        <f t="shared" si="0"/>
        <v/>
      </c>
      <c r="H42" s="33"/>
    </row>
    <row r="43" spans="1:8" x14ac:dyDescent="0.25">
      <c r="A43" s="37">
        <f>Specifikace!B43</f>
        <v>43</v>
      </c>
      <c r="B43" s="38" t="str">
        <f>Specifikace!E43</f>
        <v/>
      </c>
      <c r="C43" s="39" t="str">
        <f>Specifikace!C43</f>
        <v>Rychlost přenosu</v>
      </c>
      <c r="D43" s="40" t="str">
        <f>Specifikace!D43</f>
        <v/>
      </c>
      <c r="E43" s="36"/>
      <c r="F43" s="33"/>
      <c r="G43" s="82" t="str">
        <f t="shared" si="0"/>
        <v/>
      </c>
      <c r="H43" s="33"/>
    </row>
    <row r="44" spans="1:8" x14ac:dyDescent="0.25">
      <c r="A44" s="37">
        <f>Specifikace!B44</f>
        <v>44</v>
      </c>
      <c r="B44" s="38" t="str">
        <f>Specifikace!E44</f>
        <v/>
      </c>
      <c r="C44" s="39" t="str">
        <f>Specifikace!C44</f>
        <v>Parita</v>
      </c>
      <c r="D44" s="40">
        <f>Specifikace!D44</f>
        <v>0</v>
      </c>
      <c r="E44" s="36"/>
      <c r="F44" s="33"/>
      <c r="G44" s="82" t="str">
        <f t="shared" si="0"/>
        <v/>
      </c>
      <c r="H44" s="33"/>
    </row>
    <row r="45" spans="1:8" x14ac:dyDescent="0.25">
      <c r="A45" s="37" t="str">
        <f>Specifikace!B45</f>
        <v xml:space="preserve"> - </v>
      </c>
      <c r="B45" s="38" t="str">
        <f>Specifikace!E45</f>
        <v>-</v>
      </c>
      <c r="C45" s="39" t="str">
        <f>Specifikace!C45</f>
        <v>METROLOGICKÉ POŽADAVKY</v>
      </c>
      <c r="D45" s="40" t="str">
        <f>Specifikace!D45</f>
        <v xml:space="preserve"> - </v>
      </c>
      <c r="E45" s="36"/>
      <c r="F45" s="33"/>
      <c r="G45" s="82" t="str">
        <f t="shared" si="0"/>
        <v/>
      </c>
      <c r="H45" s="33"/>
    </row>
    <row r="46" spans="1:8" x14ac:dyDescent="0.25">
      <c r="A46" s="37">
        <f>Specifikace!B46</f>
        <v>46</v>
      </c>
      <c r="B46" s="38" t="str">
        <f>Specifikace!E46</f>
        <v/>
      </c>
      <c r="C46" s="39" t="str">
        <f>Specifikace!C46</f>
        <v>Metrologický požadavek</v>
      </c>
      <c r="D46" s="40">
        <f>Specifikace!D46</f>
        <v>0</v>
      </c>
      <c r="E46" s="36"/>
      <c r="F46" s="33"/>
      <c r="G46" s="82" t="str">
        <f t="shared" si="0"/>
        <v/>
      </c>
      <c r="H46" s="33"/>
    </row>
    <row r="47" spans="1:8" x14ac:dyDescent="0.25">
      <c r="A47" s="37" t="str">
        <f>Specifikace!B47</f>
        <v xml:space="preserve"> - </v>
      </c>
      <c r="B47" s="38" t="str">
        <f>Specifikace!E47</f>
        <v>-</v>
      </c>
      <c r="C47" s="39" t="str">
        <f>Specifikace!C47</f>
        <v>DALŠÍ OBCHODNÍ POŽADAVKY</v>
      </c>
      <c r="D47" s="40" t="str">
        <f>Specifikace!D47</f>
        <v xml:space="preserve"> - </v>
      </c>
      <c r="E47" s="36"/>
      <c r="F47" s="33"/>
      <c r="G47" s="82" t="str">
        <f t="shared" si="0"/>
        <v/>
      </c>
      <c r="H47" s="33"/>
    </row>
    <row r="48" spans="1:8" x14ac:dyDescent="0.25">
      <c r="A48" s="37">
        <f>Specifikace!B48</f>
        <v>48</v>
      </c>
      <c r="B48" s="38" t="str">
        <f>TEXT(Specifikace!E48,"000")</f>
        <v/>
      </c>
      <c r="C48" s="39" t="str">
        <f>Specifikace!C48</f>
        <v>Počet kusů</v>
      </c>
      <c r="D48" s="40">
        <f>Specifikace!D48</f>
        <v>0</v>
      </c>
      <c r="E48" s="36"/>
      <c r="F48" s="33"/>
      <c r="G48" s="82" t="str">
        <f t="shared" si="0"/>
        <v/>
      </c>
      <c r="H48" s="33"/>
    </row>
    <row r="49" spans="1:8" x14ac:dyDescent="0.25">
      <c r="A49" s="37">
        <f>Specifikace!B49</f>
        <v>49</v>
      </c>
      <c r="B49" s="38" t="str">
        <f>Specifikace!E49</f>
        <v/>
      </c>
      <c r="C49" s="39" t="str">
        <f>Specifikace!C49</f>
        <v>Balení</v>
      </c>
      <c r="D49" s="40">
        <f>Specifikace!D49</f>
        <v>0</v>
      </c>
      <c r="E49" s="36"/>
      <c r="F49" s="33"/>
      <c r="G49" s="82" t="str">
        <f t="shared" si="0"/>
        <v/>
      </c>
      <c r="H49" s="33"/>
    </row>
    <row r="50" spans="1:8" x14ac:dyDescent="0.25">
      <c r="A50" s="37">
        <f>Specifikace!B50</f>
        <v>50</v>
      </c>
      <c r="B50" s="38" t="str">
        <f>Specifikace!E50</f>
        <v/>
      </c>
      <c r="C50" s="39" t="str">
        <f>Specifikace!C50</f>
        <v>Způsob předání</v>
      </c>
      <c r="D50" s="40">
        <f>Specifikace!D50</f>
        <v>0</v>
      </c>
      <c r="E50" s="36"/>
      <c r="F50" s="33"/>
      <c r="G50" s="82" t="str">
        <f t="shared" si="0"/>
        <v/>
      </c>
      <c r="H50" s="33"/>
    </row>
    <row r="51" spans="1:8" x14ac:dyDescent="0.25">
      <c r="A51" s="37">
        <f>Specifikace!B51</f>
        <v>51</v>
      </c>
      <c r="B51" s="38" t="str">
        <f>Specifikace!E51</f>
        <v/>
      </c>
      <c r="C51" s="39" t="str">
        <f>Specifikace!C51</f>
        <v>Záruka</v>
      </c>
      <c r="D51" s="40">
        <f>Specifikace!D51</f>
        <v>0</v>
      </c>
      <c r="E51" s="36"/>
      <c r="F51" s="33"/>
      <c r="G51" s="82" t="str">
        <f t="shared" si="0"/>
        <v/>
      </c>
      <c r="H51" s="33"/>
    </row>
    <row r="52" spans="1:8" x14ac:dyDescent="0.25">
      <c r="A52" s="37" t="str">
        <f>Specifikace!B52</f>
        <v xml:space="preserve"> - </v>
      </c>
      <c r="B52" s="38" t="str">
        <f>Specifikace!E52</f>
        <v>-</v>
      </c>
      <c r="C52" s="39" t="str">
        <f>Specifikace!C52</f>
        <v>SOUVISÍCÍ PŘEDPISY</v>
      </c>
      <c r="D52" s="40" t="str">
        <f>Specifikace!D52</f>
        <v xml:space="preserve"> - </v>
      </c>
      <c r="E52" s="36"/>
      <c r="F52" s="33"/>
      <c r="G52" s="82" t="str">
        <f t="shared" si="0"/>
        <v/>
      </c>
      <c r="H52" s="33"/>
    </row>
    <row r="53" spans="1:8" x14ac:dyDescent="0.25">
      <c r="A53" s="37">
        <f>Specifikace!B53</f>
        <v>53</v>
      </c>
      <c r="B53" s="38" t="str">
        <f>Specifikace!E53</f>
        <v/>
      </c>
      <c r="C53" s="39" t="str">
        <f>Specifikace!C53</f>
        <v>Evidenční číslo manuálu průtokoměru</v>
      </c>
      <c r="D53" s="40" t="str">
        <f>Specifikace!D53</f>
        <v/>
      </c>
      <c r="E53" s="36"/>
      <c r="F53" s="33"/>
      <c r="G53" s="82" t="str">
        <f t="shared" si="0"/>
        <v/>
      </c>
      <c r="H53" s="33"/>
    </row>
    <row r="54" spans="1:8" x14ac:dyDescent="0.25">
      <c r="A54" s="37"/>
      <c r="B54" s="38"/>
      <c r="C54" s="39"/>
      <c r="D54" s="40"/>
      <c r="E54" s="36"/>
      <c r="F54" s="33"/>
      <c r="G54" s="82" t="str">
        <f t="shared" si="0"/>
        <v/>
      </c>
      <c r="H54" s="33"/>
    </row>
    <row r="55" spans="1:8" x14ac:dyDescent="0.25">
      <c r="A55" s="37"/>
      <c r="B55" s="38"/>
      <c r="C55" s="39"/>
      <c r="D55" s="40"/>
      <c r="G55" s="82" t="str">
        <f t="shared" si="0"/>
        <v/>
      </c>
    </row>
    <row r="56" spans="1:8" x14ac:dyDescent="0.25">
      <c r="A56" s="37"/>
      <c r="B56" s="38"/>
      <c r="C56" s="39"/>
      <c r="D56" s="40"/>
      <c r="G56" s="83" t="str">
        <f t="shared" si="0"/>
        <v/>
      </c>
    </row>
  </sheetData>
  <sheetProtection algorithmName="SHA-512" hashValue="FcAMXa0xxdJRCR31sagEK4I38DDhaVuXmtowCjbViyOC3fH9CqfKVXZvgqtibffv8xzuo0yYeogKZlGb53ieLQ==" saltValue="uqb6w+XguZcm+9UupCto7A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62"/>
  <sheetViews>
    <sheetView showGridLines="0" zoomScaleNormal="100" workbookViewId="0">
      <pane ySplit="4" topLeftCell="A5" activePane="bottomLeft" state="frozen"/>
      <selection pane="bottomLeft" activeCell="C4" sqref="C4"/>
    </sheetView>
  </sheetViews>
  <sheetFormatPr defaultColWidth="9.140625" defaultRowHeight="15" x14ac:dyDescent="0.25"/>
  <cols>
    <col min="1" max="1" width="0.7109375" style="1" customWidth="1"/>
    <col min="2" max="2" width="4.42578125" style="1" customWidth="1"/>
    <col min="3" max="3" width="39.42578125" style="1" customWidth="1"/>
    <col min="4" max="4" width="51.28515625" style="1" customWidth="1"/>
    <col min="5" max="5" width="6.7109375" style="3" bestFit="1" customWidth="1"/>
    <col min="6" max="6" width="1.140625" style="1" customWidth="1"/>
    <col min="7" max="7" width="2.140625" style="1" customWidth="1"/>
    <col min="8" max="8" width="48.5703125" style="1" customWidth="1"/>
    <col min="9" max="16384" width="9.140625" style="1"/>
  </cols>
  <sheetData>
    <row r="1" spans="1:7" ht="27" customHeight="1" x14ac:dyDescent="0.25">
      <c r="A1" s="30"/>
      <c r="B1" s="89" t="s">
        <v>120</v>
      </c>
      <c r="C1" s="90"/>
      <c r="D1" s="90"/>
      <c r="E1" s="69"/>
      <c r="F1" s="91"/>
    </row>
    <row r="2" spans="1:7" ht="4.5" customHeight="1" thickBot="1" x14ac:dyDescent="0.3">
      <c r="A2" s="30"/>
      <c r="B2" s="116"/>
      <c r="C2" s="117"/>
      <c r="D2" s="117"/>
      <c r="E2" s="41"/>
      <c r="F2" s="93"/>
    </row>
    <row r="3" spans="1:7" ht="18" customHeight="1" x14ac:dyDescent="0.25">
      <c r="A3" s="30"/>
      <c r="B3" s="92"/>
      <c r="C3" s="120" t="s">
        <v>289</v>
      </c>
      <c r="D3" s="121"/>
      <c r="E3" s="41"/>
      <c r="F3" s="93"/>
    </row>
    <row r="4" spans="1:7" ht="23.25" customHeight="1" thickBot="1" x14ac:dyDescent="0.3">
      <c r="A4" s="30"/>
      <c r="B4" s="92"/>
      <c r="C4" s="118"/>
      <c r="D4" s="119"/>
      <c r="E4" s="113"/>
      <c r="F4" s="93"/>
    </row>
    <row r="5" spans="1:7" ht="8.25" customHeight="1" thickBot="1" x14ac:dyDescent="0.3">
      <c r="A5" s="30"/>
      <c r="B5" s="92"/>
      <c r="C5" s="114"/>
      <c r="D5" s="115"/>
      <c r="E5" s="113"/>
      <c r="F5" s="43"/>
    </row>
    <row r="6" spans="1:7" ht="18.75" customHeight="1" thickBot="1" x14ac:dyDescent="0.3">
      <c r="A6" s="30"/>
      <c r="B6" s="6" t="s">
        <v>29</v>
      </c>
      <c r="C6" s="7" t="s">
        <v>5</v>
      </c>
      <c r="D6" s="94"/>
      <c r="E6" s="95" t="s">
        <v>23</v>
      </c>
      <c r="F6" s="96"/>
      <c r="G6" s="2"/>
    </row>
    <row r="7" spans="1:7" ht="20.100000000000001" customHeight="1" thickBot="1" x14ac:dyDescent="0.3">
      <c r="A7" s="30"/>
      <c r="B7" s="5">
        <v>5</v>
      </c>
      <c r="C7" s="4" t="s">
        <v>1</v>
      </c>
      <c r="D7" s="97" t="str">
        <f>IF(E7="1",Data!A2,IF(E7="2",Data!A3,IF(E7="4",Data!A4,IF(E7="6",Data!A5,""))))</f>
        <v/>
      </c>
      <c r="E7" s="41" t="str">
        <f>MID($C$4,5,1)</f>
        <v/>
      </c>
      <c r="F7" s="96"/>
      <c r="G7" s="2"/>
    </row>
    <row r="8" spans="1:7" ht="20.100000000000001" customHeight="1" thickBot="1" x14ac:dyDescent="0.3">
      <c r="A8" s="30"/>
      <c r="B8" s="5">
        <v>6</v>
      </c>
      <c r="C8" s="4" t="s">
        <v>26</v>
      </c>
      <c r="D8" s="98" t="str">
        <f>IF(E8="1",Data!A7,IF(E8="3",Data!A8,IF(E8="5",Data!A9,"")))</f>
        <v/>
      </c>
      <c r="E8" s="41" t="str">
        <f>MID($C$4,6,1)</f>
        <v/>
      </c>
      <c r="F8" s="96"/>
      <c r="G8" s="2"/>
    </row>
    <row r="9" spans="1:7" ht="16.5" thickBot="1" x14ac:dyDescent="0.3">
      <c r="A9" s="30"/>
      <c r="B9" s="19" t="s">
        <v>62</v>
      </c>
      <c r="C9" s="7" t="s">
        <v>2</v>
      </c>
      <c r="D9" s="99" t="s">
        <v>62</v>
      </c>
      <c r="E9" s="45" t="s">
        <v>0</v>
      </c>
      <c r="F9" s="96"/>
      <c r="G9" s="2"/>
    </row>
    <row r="10" spans="1:7" ht="18.75" customHeight="1" thickBot="1" x14ac:dyDescent="0.3">
      <c r="A10" s="30"/>
      <c r="B10" s="5">
        <v>8</v>
      </c>
      <c r="C10" s="146" t="s">
        <v>287</v>
      </c>
      <c r="D10" s="97" t="str">
        <f>IF(E$10="01",Data!A11,IF(E$10="02",Data!A12,IF(E$10="03",Data!A13,IF(E$10="04",Data!A14,IF(E$10="05",Data!A15,IF(E$10="06",Data!A16,IF(E$10="07",Data!A17,IF(E$10="08",Data!A18,IF(E$10="09",Data!A19,IF(E$10="10",Data!A20,IF(E$10="11",Data!A21,IF(E$10="12",Data!A22,IF(E$10="13",Data!A23,IF(E$10="14",Data!A24,IF(E$10="15",Data!A25,IF(E$10="16",Data!A26,IF(E$10="17",Data!A27,IF(E$10="18",Data!A28,IF(E$10="19",Data!A30,IF(E$10="20",Data!A31,IF(E$10="xx",Data!A32,"")))))))))))))))))))))</f>
        <v/>
      </c>
      <c r="E10" s="41" t="str">
        <f>IF(MID($C$4,7,2)=".1",MID($C$4,10,2),MID($C$4,8,2))</f>
        <v/>
      </c>
      <c r="F10" s="96"/>
      <c r="G10" s="2"/>
    </row>
    <row r="11" spans="1:7" ht="20.100000000000001" customHeight="1" thickBot="1" x14ac:dyDescent="0.3">
      <c r="A11" s="30"/>
      <c r="B11" s="5">
        <v>9</v>
      </c>
      <c r="C11" s="146" t="s">
        <v>25</v>
      </c>
      <c r="D11" s="147" t="str">
        <f>IF(E11="1",Data!A34,IF(E11="2",Data!A35,IF(E11="3",Data!A36,IF(E11="4",Data!A39,IF(E11="X",Data!A40,"")))))</f>
        <v/>
      </c>
      <c r="E11" s="41" t="str">
        <f>IF(MID($C$4,7,2)=".1",MID($C$4,12,1),MID($C$4,10,1))</f>
        <v/>
      </c>
      <c r="F11" s="96"/>
      <c r="G11" s="2"/>
    </row>
    <row r="12" spans="1:7" ht="15.75" thickBot="1" x14ac:dyDescent="0.3">
      <c r="A12" s="30"/>
      <c r="B12" s="5">
        <v>10</v>
      </c>
      <c r="C12" s="146" t="s">
        <v>27</v>
      </c>
      <c r="D12" s="147" t="str">
        <f>IF(E12="1",Data!A42,IF(E12="2",Data!A43,IF(E12="3",Data!A44,IF(E12="4",Data!A45,IF(E12="x",Data!A46,"")))))</f>
        <v/>
      </c>
      <c r="E12" s="41" t="str">
        <f>IF(MID($C$4,7,2)=".1",MID($C$4,13,1),MID($C$4,11,1))</f>
        <v/>
      </c>
      <c r="F12" s="96"/>
      <c r="G12" s="2"/>
    </row>
    <row r="13" spans="1:7" ht="20.100000000000001" customHeight="1" thickBot="1" x14ac:dyDescent="0.3">
      <c r="A13" s="30"/>
      <c r="B13" s="5">
        <v>11</v>
      </c>
      <c r="C13" s="146" t="s">
        <v>230</v>
      </c>
      <c r="D13" s="147" t="str">
        <f>IF(E13="1",Data!A48,IF(E13="2",Data!A49,""))</f>
        <v/>
      </c>
      <c r="E13" s="41" t="str">
        <f>IF(MID($C$4,7,2)=".1",MID($C$4,14,1),MID($C$4,12,1))</f>
        <v/>
      </c>
      <c r="F13" s="96"/>
      <c r="G13" s="2"/>
    </row>
    <row r="14" spans="1:7" ht="20.100000000000001" customHeight="1" thickBot="1" x14ac:dyDescent="0.3">
      <c r="A14" s="30"/>
      <c r="B14" s="5">
        <v>12</v>
      </c>
      <c r="C14" s="146" t="s">
        <v>30</v>
      </c>
      <c r="D14" s="147" t="str">
        <f>IF(E14="1",Data!A51,IF(E14="2",Data!A52,IF(E14="3",Data!A53,IF(E14="4",Data!A54,IF(E14="5",Data!A55,IF(E14="x",Data!A56,""))))))</f>
        <v/>
      </c>
      <c r="E14" s="41" t="str">
        <f>IF(MID($C$4,7,2)=".1",MID($C$4,15,1),MID($C$4,13,1))</f>
        <v/>
      </c>
      <c r="F14" s="96"/>
      <c r="G14" s="2"/>
    </row>
    <row r="15" spans="1:7" ht="18.75" customHeight="1" thickBot="1" x14ac:dyDescent="0.3">
      <c r="A15" s="30"/>
      <c r="B15" s="5">
        <v>13</v>
      </c>
      <c r="C15" s="146" t="s">
        <v>257</v>
      </c>
      <c r="D15" s="147" t="str">
        <f>IF(E15="0",Data!A58,IF(E15="x",Data!A59,""))</f>
        <v/>
      </c>
      <c r="E15" s="41" t="str">
        <f>IF(MID($C$4,7,2)=".1",MID($C$4,16,1),MID($C$4,14,1))</f>
        <v/>
      </c>
      <c r="F15" s="96"/>
      <c r="G15" s="2"/>
    </row>
    <row r="16" spans="1:7" ht="20.100000000000001" customHeight="1" thickBot="1" x14ac:dyDescent="0.3">
      <c r="A16" s="30"/>
      <c r="B16" s="5">
        <v>14</v>
      </c>
      <c r="C16" s="146" t="s">
        <v>288</v>
      </c>
      <c r="D16" s="147" t="str">
        <f>IF(E16="1",Data!A61,IF(E16="2",Data!A62,IF(E16="3",Data!A63,IF(E16="4",Data!A64,IF(E16="5",Data!A65,IF(E16="6",Data!A66,IF(E16="x",Data!A67,"")))))))</f>
        <v/>
      </c>
      <c r="E16" s="41" t="str">
        <f>IF(MID($C$4,7,2)=".1",MID($C$4,17,1),MID($C$4,15,1))</f>
        <v/>
      </c>
      <c r="F16" s="96"/>
      <c r="G16" s="2"/>
    </row>
    <row r="17" spans="1:7" ht="23.25" customHeight="1" thickBot="1" x14ac:dyDescent="0.3">
      <c r="A17" s="30"/>
      <c r="B17" s="5">
        <v>15</v>
      </c>
      <c r="C17" s="146" t="s">
        <v>32</v>
      </c>
      <c r="D17" s="147" t="str">
        <f>IF(E17="1",Data!A69,IF(E17="2",Data!A71,""))</f>
        <v/>
      </c>
      <c r="E17" s="41" t="str">
        <f>IF(MID($C$4,7,2)=".1",MID($C$4,18,1),MID($C$4,16,1))</f>
        <v/>
      </c>
      <c r="F17" s="96"/>
      <c r="G17" s="2"/>
    </row>
    <row r="18" spans="1:7" ht="20.100000000000001" customHeight="1" thickBot="1" x14ac:dyDescent="0.3">
      <c r="A18" s="30"/>
      <c r="B18" s="5">
        <v>16</v>
      </c>
      <c r="C18" s="146" t="s">
        <v>258</v>
      </c>
      <c r="D18" s="147" t="str">
        <f>IF(E18="1",Data!A73,IF(E18="2",Data!A74,""))</f>
        <v/>
      </c>
      <c r="E18" s="41" t="str">
        <f>IF(MID($C$4,7,2)=".1",MID($C$4,19,1),MID($C$4,17,1))</f>
        <v/>
      </c>
      <c r="F18" s="96"/>
      <c r="G18" s="2"/>
    </row>
    <row r="19" spans="1:7" ht="20.100000000000001" customHeight="1" thickBot="1" x14ac:dyDescent="0.3">
      <c r="A19" s="30"/>
      <c r="B19" s="5">
        <v>17</v>
      </c>
      <c r="C19" s="146" t="s">
        <v>90</v>
      </c>
      <c r="D19" s="147" t="str">
        <f>IF(E19="0",Data!A76,IF(E19="1",Data!A77,IF(E19="2",Data!A78,IF(E19="3",Data!A79,IF(E19="4",Data!A80,IF(E19="x",Data!A81,""))))))</f>
        <v/>
      </c>
      <c r="E19" s="41" t="str">
        <f>IF(MID($C$4,7,2)=".1",MID($C$4,20,1),MID($C$4,18,1))</f>
        <v/>
      </c>
      <c r="F19" s="96"/>
      <c r="G19" s="2"/>
    </row>
    <row r="20" spans="1:7" ht="20.100000000000001" customHeight="1" thickBot="1" x14ac:dyDescent="0.3">
      <c r="A20" s="30"/>
      <c r="B20" s="5">
        <v>18</v>
      </c>
      <c r="C20" s="148" t="s">
        <v>91</v>
      </c>
      <c r="D20" s="147" t="str">
        <f>IF(E20="0",Data!A83,IF(E20="1",Data!A84,IF(E20="2",Data!A85,IF(E20="3",Data!A86,IF(E20="4",Data!A87,"")))))</f>
        <v/>
      </c>
      <c r="E20" s="41" t="str">
        <f>IF(MID($C$4,7,2)=".1",MID($C$4,21,1),MID($C$4,19,1))</f>
        <v/>
      </c>
      <c r="F20" s="96"/>
      <c r="G20" s="2"/>
    </row>
    <row r="21" spans="1:7" ht="15.75" thickBot="1" x14ac:dyDescent="0.3">
      <c r="A21" s="30"/>
      <c r="B21" s="5">
        <v>19</v>
      </c>
      <c r="C21" s="149" t="s">
        <v>260</v>
      </c>
      <c r="D21" s="147" t="str">
        <f>IF(E21="01",Data!A89,IF(E21="02",Data!A90,IF(E21="03",Data!A91,IF(E21="04",Data!A92,IF(E21="05",Data!A93,IF(E21="06",Data!A94,IF(E21="07",Data!A95,IF(E21="08",Data!A96,IF(E21="09",Data!A97,IF(E21="10",Data!A98,IF(E21="11",Data!A99,IF(E21="12",Data!A100,IF(E21="13",Data!A101,IF(E21="14",Data!A102,IF(E21="xx",Data!A103,"")))))))))))))))</f>
        <v/>
      </c>
      <c r="E21" s="41" t="str">
        <f>IF(MID($C$4,7,2)=".1",MID($C$4,22,2),MID($C$4,20,2))</f>
        <v/>
      </c>
      <c r="F21" s="96"/>
      <c r="G21" s="2"/>
    </row>
    <row r="22" spans="1:7" ht="15.75" thickBot="1" x14ac:dyDescent="0.3">
      <c r="A22" s="30"/>
      <c r="B22" s="5">
        <v>20</v>
      </c>
      <c r="C22" s="146" t="s">
        <v>261</v>
      </c>
      <c r="D22" s="147" t="str">
        <f>IF(E22="0",Data!A105,IF(E22="x",Data!A106,""))</f>
        <v/>
      </c>
      <c r="E22" s="41" t="str">
        <f>IF(MID($C$4,7,2)=".1",MID($C$4,24,1),MID($C$4,22,1))</f>
        <v/>
      </c>
      <c r="F22" s="96"/>
      <c r="G22" s="2"/>
    </row>
    <row r="23" spans="1:7" ht="20.100000000000001" customHeight="1" thickBot="1" x14ac:dyDescent="0.3">
      <c r="A23" s="30"/>
      <c r="B23" s="5">
        <v>21</v>
      </c>
      <c r="C23" s="146" t="s">
        <v>92</v>
      </c>
      <c r="D23" s="147" t="str">
        <f>IF(E23="01",Data!A108,IF(E23="02",Data!A109,IF(E23="03",Data!A110,IF(E23="04",Data!A111,IF(E23="05",Data!A112,IF(E23="06",Data!A113,IF(E23="07",Data!A114,IF(E23="08",Data!A115,IF(E23="09",Data!A116,IF(E23="10",Data!A117,IF(E23="11",Data!A118,IF(E23="12",Data!A119,IF(E23="xx",Data!A120,"")))))))))))))</f>
        <v/>
      </c>
      <c r="E23" s="41" t="str">
        <f>IF(MID($C$4,7,2)=".1",MID($C$4,25,2),MID($C$4,23,2))</f>
        <v/>
      </c>
      <c r="F23" s="100"/>
      <c r="G23" s="2"/>
    </row>
    <row r="24" spans="1:7" ht="20.100000000000001" customHeight="1" thickBot="1" x14ac:dyDescent="0.3">
      <c r="A24" s="30"/>
      <c r="B24" s="19" t="s">
        <v>62</v>
      </c>
      <c r="C24" s="150" t="s">
        <v>34</v>
      </c>
      <c r="D24" s="99" t="s">
        <v>62</v>
      </c>
      <c r="E24" s="45" t="s">
        <v>0</v>
      </c>
      <c r="F24" s="96"/>
      <c r="G24" s="2"/>
    </row>
    <row r="25" spans="1:7" ht="20.100000000000001" customHeight="1" thickBot="1" x14ac:dyDescent="0.3">
      <c r="A25" s="30"/>
      <c r="B25" s="5">
        <v>23</v>
      </c>
      <c r="C25" s="146" t="s">
        <v>35</v>
      </c>
      <c r="D25" s="97" t="str">
        <f>IF(E25="1",Data!A122,IF(E25="2",Data!A123,IF(E25="3",Data!A124,IF(E25="4",Data!A125,""))))</f>
        <v/>
      </c>
      <c r="E25" s="41" t="str">
        <f>IF(MID($C$4,7,2)=".1",MID($C$4,28,1),MID($C$4,26,1))</f>
        <v/>
      </c>
      <c r="F25" s="96"/>
      <c r="G25" s="2"/>
    </row>
    <row r="26" spans="1:7" ht="20.100000000000001" customHeight="1" thickBot="1" x14ac:dyDescent="0.3">
      <c r="A26" s="30"/>
      <c r="B26" s="5">
        <v>24</v>
      </c>
      <c r="C26" s="146" t="s">
        <v>38</v>
      </c>
      <c r="D26" s="147" t="str">
        <f>IF(E26="1",Data!A127,IF(E26="2",Data!A128,IF(E26="3",Data!A129,IF(E26="x",Data!A130,""))))</f>
        <v/>
      </c>
      <c r="E26" s="41" t="str">
        <f>IF(MID($C$4,7,2)=".1",MID($C$4,29,1),MID($C$4,27,1))</f>
        <v/>
      </c>
      <c r="F26" s="96"/>
      <c r="G26" s="2"/>
    </row>
    <row r="27" spans="1:7" ht="15.75" thickBot="1" x14ac:dyDescent="0.3">
      <c r="A27" s="30"/>
      <c r="B27" s="5">
        <v>25</v>
      </c>
      <c r="C27" s="146" t="s">
        <v>103</v>
      </c>
      <c r="D27" s="147" t="str">
        <f>IF(E27="0",Data!A132,IF(E27="1",Data!A133,IF(E27="2",Data!A134,IF(E27="3",Data!A135,IF(E27="4",Data!A136,IF(E27="5",Data!A137,IF(E27="6",Data!A138,IF(E27="7",Data!A139,IF(E27="8",Data!A140,IF(E27="9",Data!A142,""))))))))))</f>
        <v/>
      </c>
      <c r="E27" s="41" t="str">
        <f>IF(MID($C$4,7,2)=".1",MID($C$4,30,1),MID($C$4,28,1))</f>
        <v/>
      </c>
      <c r="F27" s="96"/>
      <c r="G27" s="2"/>
    </row>
    <row r="28" spans="1:7" ht="20.100000000000001" customHeight="1" thickBot="1" x14ac:dyDescent="0.3">
      <c r="A28" s="30"/>
      <c r="B28" s="5">
        <v>26</v>
      </c>
      <c r="C28" s="146" t="s">
        <v>279</v>
      </c>
      <c r="D28" s="147" t="str">
        <f>IF(E28="00",Data!A144,IF(E28="01",Data!A145,IF(E28="02",Data!A146,IF(E28="03",Data!A147,IF(E28="04",Data!A148,IF(E28="05",Data!A149,IF(E28="06",Data!A150,IF(E28="07",Data!A151,IF(E28="08",Data!A152,IF(E28="09",Data!A153,IF(E28="10",Data!A154,IF(E28="xx",Data!A155,""))))))))))))</f>
        <v/>
      </c>
      <c r="E28" s="41" t="str">
        <f>IF(MID($C$4,7,2)=".1",MID($C$4,31,2),MID($C$4,29,2))</f>
        <v/>
      </c>
      <c r="F28" s="96"/>
      <c r="G28" s="2"/>
    </row>
    <row r="29" spans="1:7" ht="20.100000000000001" customHeight="1" thickBot="1" x14ac:dyDescent="0.3">
      <c r="A29" s="30"/>
      <c r="B29" s="5">
        <v>27</v>
      </c>
      <c r="C29" s="146" t="s">
        <v>262</v>
      </c>
      <c r="D29" s="147" t="str">
        <f>IF(E29="0",Data!A157,IF(E29="1",Data!A158,IF(E29="2",Data!A159,IF(E29="3",Data!A160,IF(E29="4",Data!A161,IF(E29="x",Data!A162,""))))))</f>
        <v/>
      </c>
      <c r="E29" s="41" t="str">
        <f>IF(MID($C$4,7,2)=".1",MID($C$4,33,1),MID($C$4,31,1))</f>
        <v/>
      </c>
      <c r="F29" s="96"/>
      <c r="G29" s="2"/>
    </row>
    <row r="30" spans="1:7" ht="20.100000000000001" customHeight="1" thickBot="1" x14ac:dyDescent="0.3">
      <c r="A30" s="30"/>
      <c r="B30" s="5">
        <v>28</v>
      </c>
      <c r="C30" s="146" t="s">
        <v>263</v>
      </c>
      <c r="D30" s="147" t="str">
        <f>IF(E30="0",Data!A164,IF(E30="1",Data!A165,IF(E30="2",Data!A166,IF(E30="x",Data!A167,""))))</f>
        <v/>
      </c>
      <c r="E30" s="41" t="str">
        <f>IF(MID($C$4,7,2)=".1",MID($C$4,34,1),MID($C$4,32,1))</f>
        <v/>
      </c>
      <c r="F30" s="96"/>
      <c r="G30" s="2"/>
    </row>
    <row r="31" spans="1:7" ht="20.100000000000001" customHeight="1" thickBot="1" x14ac:dyDescent="0.3">
      <c r="A31" s="30"/>
      <c r="B31" s="5">
        <v>29</v>
      </c>
      <c r="C31" s="146" t="s">
        <v>266</v>
      </c>
      <c r="D31" s="147" t="str">
        <f>IF(E31="00",Data!A169,IF(E31="01",Data!A170,IF(E31="02",Data!A171,IF(E31="03",Data!A172,IF(E31="04",Data!A173,IF(E31="05",Data!A174,IF(E31="06",Data!A175,IF(E31="07",Data!A176,IF(E31="08",Data!A177,IF(E31="09",Data!A178,IF(E31="10",Data!A179,IF(E31="11",Data!A180,IF(E31="12",Data!A181,IF(E31="13",Data!A182,IF(E31="14",Data!A183,IF(E31="xx",Data!A184,""))))))))))))))))</f>
        <v/>
      </c>
      <c r="E31" s="41" t="str">
        <f>IF(MID($C$4,7,2)=".1",MID($C$4,35,2),MID($C$4,33,2))</f>
        <v/>
      </c>
      <c r="F31" s="96"/>
      <c r="G31" s="2"/>
    </row>
    <row r="32" spans="1:7" ht="20.100000000000001" customHeight="1" thickBot="1" x14ac:dyDescent="0.3">
      <c r="A32" s="30"/>
      <c r="B32" s="5">
        <v>30</v>
      </c>
      <c r="C32" s="146" t="s">
        <v>267</v>
      </c>
      <c r="D32" s="147" t="str">
        <f>IF(E32="0",Data!A186,IF(E32="1",Data!A187,IF(E32="2",Data!A188,"")))</f>
        <v/>
      </c>
      <c r="E32" s="41" t="str">
        <f>IF(MID($C$4,7,2)=".1",MID($C$4,37,1),MID($C$4,35,1))</f>
        <v/>
      </c>
      <c r="F32" s="96"/>
      <c r="G32" s="2"/>
    </row>
    <row r="33" spans="1:7" ht="20.100000000000001" customHeight="1" thickBot="1" x14ac:dyDescent="0.3">
      <c r="A33" s="30"/>
      <c r="B33" s="5">
        <v>31</v>
      </c>
      <c r="C33" s="146" t="s">
        <v>268</v>
      </c>
      <c r="D33" s="147" t="str">
        <f>IF(E33="0",Data!A190,IF(E33="1",Data!A191,IF(E33="2",Data!A192,IF(E33="3",Data!A193,IF(E33="4",Data!A194,"")))))</f>
        <v/>
      </c>
      <c r="E33" s="41" t="str">
        <f>IF(MID($C$4,7,2)=".1",MID($C$4,38,1),MID($C$4,36,1))</f>
        <v/>
      </c>
      <c r="F33" s="96"/>
      <c r="G33" s="2"/>
    </row>
    <row r="34" spans="1:7" ht="20.100000000000001" customHeight="1" thickBot="1" x14ac:dyDescent="0.3">
      <c r="A34" s="30"/>
      <c r="B34" s="5">
        <v>32</v>
      </c>
      <c r="C34" s="146" t="s">
        <v>270</v>
      </c>
      <c r="D34" s="147" t="str">
        <f>IF(E34="0",Data!A196,IF(E34="1",Data!A197,IF(E34="2",Data!A198,IF(E34="3",Data!A199,IF(E34="4",Data!A200,IF(E34="5",Data!A201,IF(E34="x",Data!A202,"")))))))</f>
        <v/>
      </c>
      <c r="E34" s="41" t="str">
        <f>IF(MID($C$4,7,2)=".1",MID($C$4,39,1),MID($C$4,37,1))</f>
        <v/>
      </c>
      <c r="F34" s="96"/>
      <c r="G34" s="2"/>
    </row>
    <row r="35" spans="1:7" ht="20.100000000000001" customHeight="1" thickBot="1" x14ac:dyDescent="0.3">
      <c r="A35" s="30"/>
      <c r="B35" s="5">
        <v>33</v>
      </c>
      <c r="C35" s="146" t="s">
        <v>271</v>
      </c>
      <c r="D35" s="147" t="str">
        <f>IF(E35="00",Data!A204,IF(E35="01",Data!A205,IF(E35="02",Data!A206,IF(E35="03",Data!A207,IF(E35="04",Data!A208,IF(E35="05",Data!A209,IF(E35="06",Data!A210,IF(E35="07",Data!A211,IF(E35="08",Data!A212,IF(E35="09",Data!A213,IF(E35="10",Data!A214,IF(E35="11",Data!A215,IF(E35="12",Data!A216,IF(E35="13",Data!A217,IF(E35="14",Data!A218,IF(E35="15",Data!A219,IF(E35="xx",Data!A220,"")))))))))))))))))</f>
        <v/>
      </c>
      <c r="E35" s="41" t="str">
        <f>IF(MID($C$4,7,2)=".1",MID($C$4,40,2),MID($C$4,38,2))</f>
        <v/>
      </c>
      <c r="F35" s="96"/>
      <c r="G35" s="2"/>
    </row>
    <row r="36" spans="1:7" ht="20.100000000000001" customHeight="1" thickBot="1" x14ac:dyDescent="0.3">
      <c r="A36" s="30"/>
      <c r="B36" s="5">
        <v>34</v>
      </c>
      <c r="C36" s="146" t="s">
        <v>272</v>
      </c>
      <c r="D36" s="147" t="str">
        <f>IF(E36="0",Data!A222,IF(E36="1",Data!A223,IF(E36="2",Data!A224,IF(E36="3",Data!A225,IF(E36="4",Data!A226,IF(E36="x",Data!A227,""))))))</f>
        <v/>
      </c>
      <c r="E36" s="41" t="str">
        <f>IF(MID($C$4,7,2)=".1",MID($C$4,42,1),MID($C$4,40,1))</f>
        <v/>
      </c>
      <c r="F36" s="96"/>
      <c r="G36" s="2"/>
    </row>
    <row r="37" spans="1:7" ht="20.100000000000001" customHeight="1" thickBot="1" x14ac:dyDescent="0.3">
      <c r="A37" s="30"/>
      <c r="B37" s="5">
        <v>35</v>
      </c>
      <c r="C37" s="146" t="s">
        <v>273</v>
      </c>
      <c r="D37" s="147" t="str">
        <f>IF(E37="00",Data!A229,IF(E37="01",Data!A230,IF(E37="02",Data!A231,IF(E37="03",Data!A232,IF(E37="04",Data!A233,IF(E37="05",Data!A234,IF(E37="06",Data!A235,IF(E37="07",Data!A236,IF(E37="08",Data!A237,IF(E37="09",Data!A238,IF(E37="10",Data!A239,IF(E37="11",Data!A240,IF(E37="12",Data!A241,IF(E37="xx",Data!A242,""))))))))))))))</f>
        <v/>
      </c>
      <c r="E37" s="41" t="str">
        <f>IF(MID($C$4,7,2)=".1",MID($C$4,43,2),MID($C$4,41,2))</f>
        <v/>
      </c>
      <c r="F37" s="96"/>
      <c r="G37" s="2"/>
    </row>
    <row r="38" spans="1:7" ht="20.100000000000001" customHeight="1" thickBot="1" x14ac:dyDescent="0.3">
      <c r="A38" s="30"/>
      <c r="B38" s="5">
        <v>36</v>
      </c>
      <c r="C38" s="146" t="s">
        <v>274</v>
      </c>
      <c r="D38" s="147" t="str">
        <f>IF(E38="0",Data!A244,IF(E38="1",Data!A245,IF(E38="2",Data!A246,"")))</f>
        <v/>
      </c>
      <c r="E38" s="41" t="str">
        <f>IF(MID($C$4,7,2)=".1",MID($C$4,45,1),MID($C$4,43,1))</f>
        <v/>
      </c>
      <c r="F38" s="96"/>
      <c r="G38" s="2"/>
    </row>
    <row r="39" spans="1:7" ht="15.75" thickBot="1" x14ac:dyDescent="0.3">
      <c r="A39" s="30"/>
      <c r="B39" s="5">
        <v>37</v>
      </c>
      <c r="C39" s="146" t="s">
        <v>275</v>
      </c>
      <c r="D39" s="147" t="str">
        <f>IF(E39="1",Data!A249,IF(E39="2",Data!A250,""))</f>
        <v/>
      </c>
      <c r="E39" s="41" t="str">
        <f>IF(MID($C$4,7,2)=".1",MID($C$4,46,1),MID($C$4,44,1))</f>
        <v/>
      </c>
      <c r="F39" s="96"/>
      <c r="G39" s="2"/>
    </row>
    <row r="40" spans="1:7" ht="15.75" thickBot="1" x14ac:dyDescent="0.3">
      <c r="A40" s="30"/>
      <c r="B40" s="5">
        <v>38</v>
      </c>
      <c r="C40" s="146" t="s">
        <v>48</v>
      </c>
      <c r="D40" s="147" t="str">
        <f>IF(E40="1",Data!A253,IF(E40="2",Data!A254,IF(E40="3",Data!A255,IF(E40="4",Data!A257,IF(E40="5",Data!A258,IF(E40="6",Data!A259,""))))))</f>
        <v/>
      </c>
      <c r="E40" s="41" t="str">
        <f>IF(MID($C$4,7,2)=".1",MID($C$4,47,1),MID($C$4,45,1))</f>
        <v/>
      </c>
      <c r="F40" s="101"/>
    </row>
    <row r="41" spans="1:7" ht="16.5" thickBot="1" x14ac:dyDescent="0.3">
      <c r="A41" s="30"/>
      <c r="B41" s="19" t="s">
        <v>62</v>
      </c>
      <c r="C41" s="150" t="s">
        <v>63</v>
      </c>
      <c r="D41" s="99" t="s">
        <v>62</v>
      </c>
      <c r="E41" s="45" t="s">
        <v>0</v>
      </c>
      <c r="F41" s="96"/>
    </row>
    <row r="42" spans="1:7" ht="20.100000000000001" customHeight="1" thickBot="1" x14ac:dyDescent="0.3">
      <c r="A42" s="30"/>
      <c r="B42" s="5">
        <v>40</v>
      </c>
      <c r="C42" s="146" t="s">
        <v>45</v>
      </c>
      <c r="D42" s="147" t="str">
        <f>IF(E42="0",Data!A261,IF(E42="1",Data!A263,""))</f>
        <v/>
      </c>
      <c r="E42" s="41" t="str">
        <f>IF(MID($C$4,7,2)=".1",MID($C$4,49,1),MID($C$4,47,1))</f>
        <v/>
      </c>
      <c r="F42" s="101"/>
    </row>
    <row r="43" spans="1:7" ht="20.100000000000001" customHeight="1" thickBot="1" x14ac:dyDescent="0.3">
      <c r="A43" s="30"/>
      <c r="B43" s="5">
        <v>41</v>
      </c>
      <c r="C43" s="146" t="s">
        <v>97</v>
      </c>
      <c r="D43" s="147" t="str">
        <f>IF(E43="000","Komunikace není požadována - adresa neuvedena",IF(E43&gt;0,E43,""))</f>
        <v/>
      </c>
      <c r="E43" s="41" t="str">
        <f>IF(MID($C$4,7,2)=".1",MID($C$4,50,3),MID($C$4,48,3))</f>
        <v/>
      </c>
      <c r="F43" s="101"/>
    </row>
    <row r="44" spans="1:7" ht="15.75" thickBot="1" x14ac:dyDescent="0.3">
      <c r="A44" s="30"/>
      <c r="B44" s="5">
        <v>42</v>
      </c>
      <c r="C44" s="146" t="s">
        <v>98</v>
      </c>
      <c r="D44" s="147" t="str">
        <f>IF(E44="000","Komunikace není požadována - adresa neuvedena",IF(E44&gt;0,E44,""))</f>
        <v/>
      </c>
      <c r="E44" s="41" t="str">
        <f>IF(MID($C$4,7,2)=".1",MID($C$4,53,3),MID($C$4,51,3))</f>
        <v/>
      </c>
      <c r="F44" s="96"/>
    </row>
    <row r="45" spans="1:7" ht="20.100000000000001" customHeight="1" thickBot="1" x14ac:dyDescent="0.3">
      <c r="A45" s="30"/>
      <c r="B45" s="5">
        <v>43</v>
      </c>
      <c r="C45" s="146" t="s">
        <v>49</v>
      </c>
      <c r="D45" s="147" t="str">
        <f>IF(E45="0",Data!A269,IF(E45="1",Data!#REF!,IF(E45="2",Data!#REF!,IF(E45="3",Data!#REF!,IF(E45="4",Data!A270,"")))))</f>
        <v/>
      </c>
      <c r="E45" s="41" t="str">
        <f>IF(MID($C$4,7,2)=".1",MID($C$4,56,1),MID($C$4,54,1))</f>
        <v/>
      </c>
      <c r="F45" s="101"/>
    </row>
    <row r="46" spans="1:7" ht="20.100000000000001" customHeight="1" thickBot="1" x14ac:dyDescent="0.3">
      <c r="A46" s="30"/>
      <c r="B46" s="5">
        <v>44</v>
      </c>
      <c r="C46" s="146" t="s">
        <v>46</v>
      </c>
      <c r="D46" s="147" t="str">
        <f>IF(E46="0",Data!A273,IF(E46="1",Data!A274,IF(E46="2",Data!A275,IF(E46="3",Data!A276,IF(E46="4",Data!A277,IF(E46="5",Data!A278,""))))))</f>
        <v/>
      </c>
      <c r="E46" s="41" t="str">
        <f>IF(MID($C$4,7,2)=".1",MID($C$4,57,1),MID($C$4,55,1))</f>
        <v/>
      </c>
      <c r="F46" s="101"/>
    </row>
    <row r="47" spans="1:7" ht="20.100000000000001" customHeight="1" thickBot="1" x14ac:dyDescent="0.3">
      <c r="A47" s="30"/>
      <c r="B47" s="19" t="s">
        <v>62</v>
      </c>
      <c r="C47" s="7" t="s">
        <v>219</v>
      </c>
      <c r="D47" s="99" t="s">
        <v>62</v>
      </c>
      <c r="E47" s="45" t="s">
        <v>0</v>
      </c>
      <c r="F47" s="101"/>
    </row>
    <row r="48" spans="1:7" ht="20.100000000000001" customHeight="1" thickBot="1" x14ac:dyDescent="0.3">
      <c r="A48" s="30"/>
      <c r="B48" s="5">
        <v>46</v>
      </c>
      <c r="C48" s="4" t="s">
        <v>277</v>
      </c>
      <c r="D48" s="147" t="str">
        <f>IF(E48="0",Data!A280,IF(E48="1",Data!A281,IF(E48="2",Data!A282,IF(E48="5",Data!A283,IF(E48="6",Data!A284,IF(E48="x",Data!A285,""))))))</f>
        <v/>
      </c>
      <c r="E48" s="41" t="str">
        <f>IF(MID($C$4,7,2)=".1",MID($C$4,59,1),MID($C$4,57,1))</f>
        <v/>
      </c>
      <c r="F48" s="101"/>
    </row>
    <row r="49" spans="1:6" ht="20.100000000000001" customHeight="1" thickBot="1" x14ac:dyDescent="0.3">
      <c r="A49" s="30"/>
      <c r="B49" s="19" t="s">
        <v>62</v>
      </c>
      <c r="C49" s="7" t="s">
        <v>50</v>
      </c>
      <c r="D49" s="99" t="s">
        <v>62</v>
      </c>
      <c r="E49" s="45" t="s">
        <v>0</v>
      </c>
      <c r="F49" s="101"/>
    </row>
    <row r="50" spans="1:6" ht="15.75" thickBot="1" x14ac:dyDescent="0.3">
      <c r="A50" s="30"/>
      <c r="B50" s="5">
        <v>48</v>
      </c>
      <c r="C50" s="4" t="s">
        <v>107</v>
      </c>
      <c r="D50" s="147" t="str">
        <f>IF(E50="000","0",IF(E50&gt;0,E50,""))</f>
        <v/>
      </c>
      <c r="E50" s="41" t="str">
        <f>IF(MID($C$4,7,2)=".1",MID($C$4,61,3),MID($C$4,59,3))</f>
        <v/>
      </c>
      <c r="F50" s="96"/>
    </row>
    <row r="51" spans="1:6" ht="15.75" thickBot="1" x14ac:dyDescent="0.3">
      <c r="A51" s="30"/>
      <c r="B51" s="5">
        <v>49</v>
      </c>
      <c r="C51" s="4" t="s">
        <v>51</v>
      </c>
      <c r="D51" s="147" t="str">
        <f>IF(E51="0",Data!A289,IF(E51="1",Data!A290,IF(E51="x",Data!A291,"")))</f>
        <v/>
      </c>
      <c r="E51" s="41" t="str">
        <f>IF(MID($C$4,7,2)=".1",MID($C$4,64,1),MID($C$4,62,1))</f>
        <v/>
      </c>
      <c r="F51" s="101"/>
    </row>
    <row r="52" spans="1:6" ht="15.75" thickBot="1" x14ac:dyDescent="0.3">
      <c r="A52" s="30"/>
      <c r="B52" s="5">
        <v>50</v>
      </c>
      <c r="C52" s="4" t="s">
        <v>52</v>
      </c>
      <c r="D52" s="147" t="str">
        <f>IF(E52="1",Data!A293,IF(E52="2",Data!A294,IF(E52="3",Data!A295,IF(E52="x",Data!A296,""))))</f>
        <v/>
      </c>
      <c r="E52" s="41" t="str">
        <f>IF(MID($C$4,7,2)=".1",MID($C$4,65,1),MID($C$4,63,1))</f>
        <v/>
      </c>
      <c r="F52" s="96"/>
    </row>
    <row r="53" spans="1:6" ht="20.100000000000001" customHeight="1" thickBot="1" x14ac:dyDescent="0.3">
      <c r="A53" s="30"/>
      <c r="B53" s="5">
        <v>51</v>
      </c>
      <c r="C53" s="4" t="s">
        <v>53</v>
      </c>
      <c r="D53" s="147" t="str">
        <f>IF(E53="1",Data!A298,IF(E53="2",Data!A299,IF(E53="3",Data!A300,IF(E53="4",Data!A301,IF(E53="5",Data!A302,IF(E53="x",Data!A303,""))))))</f>
        <v/>
      </c>
      <c r="E53" s="41" t="str">
        <f>IF(MID($C$4,7,2)=".1",MID($C$4,66,1),MID($C$4,64,1))</f>
        <v/>
      </c>
      <c r="F53" s="101"/>
    </row>
    <row r="54" spans="1:6" ht="20.100000000000001" customHeight="1" thickBot="1" x14ac:dyDescent="0.3">
      <c r="A54" s="30"/>
      <c r="B54" s="19" t="s">
        <v>62</v>
      </c>
      <c r="C54" s="7" t="s">
        <v>64</v>
      </c>
      <c r="D54" s="99" t="s">
        <v>62</v>
      </c>
      <c r="E54" s="45" t="s">
        <v>0</v>
      </c>
      <c r="F54" s="101"/>
    </row>
    <row r="55" spans="1:6" ht="20.100000000000001" customHeight="1" thickBot="1" x14ac:dyDescent="0.3">
      <c r="A55" s="30"/>
      <c r="B55" s="79">
        <v>53</v>
      </c>
      <c r="C55" s="80" t="s">
        <v>99</v>
      </c>
      <c r="D55" s="147" t="str">
        <f>IF(E55="1",Data!A305,IF(E55="2",Data!A306,""))</f>
        <v/>
      </c>
      <c r="E55" s="41" t="str">
        <f>IF(MID($C$4,7,2)=".1",MID($C$4,68,1),MID($C$4,66,1))</f>
        <v/>
      </c>
      <c r="F55" s="151"/>
    </row>
    <row r="56" spans="1:6" ht="9.75" customHeight="1" thickBot="1" x14ac:dyDescent="0.3">
      <c r="A56" s="30"/>
      <c r="B56" s="30"/>
      <c r="C56" s="30"/>
      <c r="D56" s="30"/>
      <c r="E56" s="42"/>
      <c r="F56" s="102"/>
    </row>
    <row r="57" spans="1:6" ht="23.25" customHeight="1" x14ac:dyDescent="0.25">
      <c r="A57" s="30"/>
      <c r="B57" s="103"/>
      <c r="C57" s="104" t="s">
        <v>117</v>
      </c>
      <c r="D57" s="105"/>
      <c r="E57" s="68"/>
      <c r="F57" s="106"/>
    </row>
    <row r="58" spans="1:6" ht="69.75" customHeight="1" x14ac:dyDescent="0.25">
      <c r="A58" s="30"/>
      <c r="B58" s="107"/>
      <c r="C58" s="258"/>
      <c r="D58" s="258"/>
      <c r="E58" s="69"/>
      <c r="F58" s="108"/>
    </row>
    <row r="59" spans="1:6" ht="8.25" customHeight="1" thickBot="1" x14ac:dyDescent="0.3">
      <c r="A59" s="30"/>
      <c r="B59" s="107"/>
      <c r="C59" s="73"/>
      <c r="D59" s="73"/>
      <c r="E59" s="69"/>
      <c r="F59" s="108"/>
    </row>
    <row r="60" spans="1:6" ht="17.45" customHeight="1" thickBot="1" x14ac:dyDescent="0.3">
      <c r="A60" s="30"/>
      <c r="B60" s="109"/>
      <c r="C60" s="110" t="s">
        <v>118</v>
      </c>
      <c r="D60" s="59"/>
      <c r="E60" s="69"/>
      <c r="F60" s="108"/>
    </row>
    <row r="61" spans="1:6" ht="17.45" customHeight="1" x14ac:dyDescent="0.25">
      <c r="A61" s="30"/>
      <c r="B61" s="109"/>
      <c r="C61" s="110" t="s">
        <v>119</v>
      </c>
      <c r="D61" s="44"/>
      <c r="E61" s="69"/>
      <c r="F61" s="108"/>
    </row>
    <row r="62" spans="1:6" ht="15.75" thickBot="1" x14ac:dyDescent="0.3">
      <c r="A62" s="30"/>
      <c r="B62" s="111"/>
      <c r="C62" s="74"/>
      <c r="D62" s="74"/>
      <c r="E62" s="70"/>
      <c r="F62" s="112"/>
    </row>
  </sheetData>
  <sheetProtection algorithmName="SHA-512" hashValue="Eiuae3QiWask6jqTVctm6QqsIPKlJ+9anHLsKAANmVLQyWn9LU4ovE4b9bx0JyINVd2KT4WhWSJeKNvNApcIaQ==" saltValue="55EKKngQYq56IO7PyWIvag==" spinCount="100000" sheet="1" formatRows="0"/>
  <mergeCells count="1">
    <mergeCell ref="C58:D58"/>
  </mergeCells>
  <pageMargins left="0.62992125984251968" right="0.23622047244094491" top="0.74803149606299213" bottom="0.74803149606299213" header="0.31496062992125984" footer="0.31496062992125984"/>
  <pageSetup paperSize="9" scale="91" fitToHeight="0" orientation="portrait" r:id="rId1"/>
  <headerFooter>
    <oddFooter>&amp;L&amp;"-,Kurzíva"&amp;10Tisk dne: &amp;D&amp;C&amp;"-,Kurzíva"&amp;10&amp;F&amp;R&amp;"-,Kurzíva"&amp;10&amp;P /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60</vt:i4>
      </vt:variant>
    </vt:vector>
  </HeadingPairs>
  <TitlesOfParts>
    <vt:vector size="64" baseType="lpstr">
      <vt:lpstr>Specifikace</vt:lpstr>
      <vt:lpstr>Data</vt:lpstr>
      <vt:lpstr>Tech</vt:lpstr>
      <vt:lpstr>Dekod</vt:lpstr>
      <vt:lpstr>Dekod!Hodnoty</vt:lpstr>
      <vt:lpstr>Hodnoty</vt:lpstr>
      <vt:lpstr>Dekod!HodnotyHW</vt:lpstr>
      <vt:lpstr>HodnotyHW</vt:lpstr>
      <vt:lpstr>Dekod!KodyOC</vt:lpstr>
      <vt:lpstr>KodyOC</vt:lpstr>
      <vt:lpstr>Dekod!KodyOC_HW</vt:lpstr>
      <vt:lpstr>KodyOC_HW</vt:lpstr>
      <vt:lpstr>Man_4011MID</vt:lpstr>
      <vt:lpstr>Man_4015.1_4025.1</vt:lpstr>
      <vt:lpstr>Man_4015_4025</vt:lpstr>
      <vt:lpstr>Man_4041MID</vt:lpstr>
      <vt:lpstr>Man_4045.1_4065.1</vt:lpstr>
      <vt:lpstr>Man_4045_4065</vt:lpstr>
      <vt:lpstr>NezadanHW</vt:lpstr>
      <vt:lpstr>Nezadano</vt:lpstr>
      <vt:lpstr>Dekod!Oblast_tisku</vt:lpstr>
      <vt:lpstr>Specifikace!Oblast_tisku</vt:lpstr>
      <vt:lpstr>OC_B</vt:lpstr>
      <vt:lpstr>OC_BV</vt:lpstr>
      <vt:lpstr>OC_D2R</vt:lpstr>
      <vt:lpstr>OC_DC</vt:lpstr>
      <vt:lpstr>OC_DK</vt:lpstr>
      <vt:lpstr>OC_DM</vt:lpstr>
      <vt:lpstr>OC_DTdPED</vt:lpstr>
      <vt:lpstr>OC_FV</vt:lpstr>
      <vt:lpstr>OC_IC</vt:lpstr>
      <vt:lpstr>OC_JH</vt:lpstr>
      <vt:lpstr>OC_JHP</vt:lpstr>
      <vt:lpstr>OC_JIC</vt:lpstr>
      <vt:lpstr>OC_JO</vt:lpstr>
      <vt:lpstr>OC_JOP</vt:lpstr>
      <vt:lpstr>OC_JR</vt:lpstr>
      <vt:lpstr>OC_JT</vt:lpstr>
      <vt:lpstr>OC_JTep</vt:lpstr>
      <vt:lpstr>OC_KCsS</vt:lpstr>
      <vt:lpstr>OC_KdPED</vt:lpstr>
      <vt:lpstr>OC_MaPUC</vt:lpstr>
      <vt:lpstr>OC_MP</vt:lpstr>
      <vt:lpstr>OC_MPTM</vt:lpstr>
      <vt:lpstr>OC_MT</vt:lpstr>
      <vt:lpstr>OC_MVP</vt:lpstr>
      <vt:lpstr>OC_N</vt:lpstr>
      <vt:lpstr>OC_NM</vt:lpstr>
      <vt:lpstr>OC_P</vt:lpstr>
      <vt:lpstr>OC_PC</vt:lpstr>
      <vt:lpstr>OC_PMC</vt:lpstr>
      <vt:lpstr>OC_PV</vt:lpstr>
      <vt:lpstr>OC_R</vt:lpstr>
      <vt:lpstr>OC_RP</vt:lpstr>
      <vt:lpstr>OC_SVE</vt:lpstr>
      <vt:lpstr>OC_UMT</vt:lpstr>
      <vt:lpstr>OC_VaPP</vt:lpstr>
      <vt:lpstr>OC_Z</vt:lpstr>
      <vt:lpstr>OC_ZJ</vt:lpstr>
      <vt:lpstr>OC_ZP</vt:lpstr>
      <vt:lpstr>Dekod!Parametry</vt:lpstr>
      <vt:lpstr>Parametry</vt:lpstr>
      <vt:lpstr>Preddef_hodn</vt:lpstr>
      <vt:lpstr>SoupisNP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Vladimír Chvojka</dc:creator>
  <cp:lastModifiedBy>Vladimír Chvojka</cp:lastModifiedBy>
  <cp:lastPrinted>2024-01-24T12:25:09Z</cp:lastPrinted>
  <dcterms:created xsi:type="dcterms:W3CDTF">2019-05-29T08:44:12Z</dcterms:created>
  <dcterms:modified xsi:type="dcterms:W3CDTF">2024-07-18T09:10:01Z</dcterms:modified>
</cp:coreProperties>
</file>