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"/>
    </mc:Choice>
  </mc:AlternateContent>
  <xr:revisionPtr revIDLastSave="0" documentId="13_ncr:1_{AB82725F-4709-4458-964E-F737FCD9223B}" xr6:coauthVersionLast="47" xr6:coauthVersionMax="47" xr10:uidLastSave="{00000000-0000-0000-0000-000000000000}"/>
  <workbookProtection workbookAlgorithmName="SHA-512" workbookHashValue="nRMVaHKA8uDyL439arSdKXU6kZWKD9IEpUxszLxIByt8QNtkYklXHUFtLxh2NPJmgtGcFNl3whHgjXOSOc4gxA==" workbookSaltValue="Mth0j3tSOYDZ0sqIhWG0Ng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List1" sheetId="4" state="hidden" r:id="rId2"/>
    <sheet name="Data" sheetId="2" state="hidden" r:id="rId3"/>
    <sheet name="Pulse numbers" sheetId="6" r:id="rId4"/>
    <sheet name="Tech" sheetId="3" state="hidden" r:id="rId5"/>
  </sheets>
  <definedNames>
    <definedName name="_Toc435281507" localSheetId="2">Data!#REF!</definedName>
    <definedName name="_Toc492063221" localSheetId="2">Data!#REF!</definedName>
    <definedName name="_Toc492967637" localSheetId="2">Data!#REF!</definedName>
    <definedName name="_Toc505842449" localSheetId="2">Data!#REF!</definedName>
    <definedName name="_Toc505842450" localSheetId="2">Data!#REF!</definedName>
    <definedName name="gal_m3">Data!$D$8</definedName>
    <definedName name="Hodnoty">Specification!$D$5:$D$51</definedName>
    <definedName name="HodnotyHW">Specification!$D$5:$D$17</definedName>
    <definedName name="KodyOC">Specification!$E$5:$E$51</definedName>
    <definedName name="KodyOC_HW">Specification!$E$5:$E$17</definedName>
    <definedName name="NezadanHW">Tech!$F$2</definedName>
    <definedName name="Nezadano">Tech!$F$1</definedName>
    <definedName name="_xlnm.Print_Area" localSheetId="0">Specification!$B$1:$E$68</definedName>
    <definedName name="OC_ACH">Data!#REF!</definedName>
    <definedName name="OC_AV">Data!$A$177:$A$181</definedName>
    <definedName name="OC_B">Data!$A$254:$A$256</definedName>
    <definedName name="OC_CE">Data!#REF!</definedName>
    <definedName name="OC_D">Data!#REF!</definedName>
    <definedName name="OC_DC">Data!$A$11:$A$21</definedName>
    <definedName name="OC_DCkod">Data!$A$11:$B$21</definedName>
    <definedName name="OC_DK">Data!$A$71:$A$79</definedName>
    <definedName name="OC_DM">Data!#REF!</definedName>
    <definedName name="OC_DTdPED">Data!#REF!</definedName>
    <definedName name="OC_F4vp">Data!$A$243:$A$244</definedName>
    <definedName name="OC_FOUT1">Data!$A$201:$A$202</definedName>
    <definedName name="OC_FOUT2">Data!$A$222:$A$223</definedName>
    <definedName name="OC_FR">Data!#REF!</definedName>
    <definedName name="OC_H">Data!$A$240:$A$241</definedName>
    <definedName name="OC_IC">Data!$A$81:$A$83</definedName>
    <definedName name="OC_INP">Data!#REF!</definedName>
    <definedName name="OC_JIC">Data!$A$86:$A$99</definedName>
    <definedName name="OC_JO">Data!$A$101:$A$114</definedName>
    <definedName name="OC_JP">Data!$A$116:$A$141</definedName>
    <definedName name="OC_JT">Data!$A$42:$A$43</definedName>
    <definedName name="OC_JTkod">Data!$A$42:$B$43</definedName>
    <definedName name="OC_KC">Data!$A$29:$A$30</definedName>
    <definedName name="OC_KdPED">Data!#REF!</definedName>
    <definedName name="OC_KPP">Data!$A$8:$A$9</definedName>
    <definedName name="OC_KSE">Data!$A$59:$A$60</definedName>
    <definedName name="OC_MC">Data!$A$23:$A$24</definedName>
    <definedName name="OC_MCkod">Data!$A$23:$B$24</definedName>
    <definedName name="OC_MDT">Data!#REF!</definedName>
    <definedName name="OC_ME">Data!$A$32:$A$37</definedName>
    <definedName name="OC_MP">Data!$A$246:$A$250</definedName>
    <definedName name="OC_MPTM">Data!$A$45:$A$54</definedName>
    <definedName name="OC_MT">Data!$A$62:$A$63</definedName>
    <definedName name="OC_N">Data!$A$56:$A$57</definedName>
    <definedName name="OC_NM">Data!$A$151:$A$153</definedName>
    <definedName name="OC_PC">Data!#REF!</definedName>
    <definedName name="OC_PMC">Data!$A$2:$A$6</definedName>
    <definedName name="OC_Prut">Data!$A$174:$A$175</definedName>
    <definedName name="OC_PVpP">Data!$A$143:$A$149</definedName>
    <definedName name="OC_R">Data!$A$225:$A$226</definedName>
    <definedName name="OC_RP">Data!$A$230:$A$238</definedName>
    <definedName name="OC_VC">Data!$A$26:$A$27</definedName>
    <definedName name="OC_VCkod">Data!$A$26:$B$27</definedName>
    <definedName name="OC_VD">Data!#REF!</definedName>
    <definedName name="OC_VOUT1">Data!$A$183:$A$198</definedName>
    <definedName name="OC_VOUT2">Data!$A$204:$A$219</definedName>
    <definedName name="OC_Z">Data!$A$263:$A$268</definedName>
    <definedName name="OC_ZE">Data!$A$39:$A$40</definedName>
    <definedName name="OC_ZJ">Data!$A$155:$A$165</definedName>
    <definedName name="OC_ZK">Data!$A$67:$A$68</definedName>
    <definedName name="OC_Zobr">Data!$A$167:$A$172</definedName>
    <definedName name="OC_ZP">Data!$A$258:$A$261</definedName>
    <definedName name="Parametry">Specification!$B$4:$C$52</definedName>
    <definedName name="Preddef_hodn">Data!$A$1:$B$268</definedName>
    <definedName name="SoupisNP">Tech!$H$1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H15" i="1"/>
  <c r="H10" i="1"/>
  <c r="E44" i="1" l="1"/>
  <c r="G15" i="1"/>
  <c r="E14" i="1"/>
  <c r="E10" i="1"/>
  <c r="E9" i="1"/>
  <c r="E8" i="1"/>
  <c r="B8" i="3" s="1"/>
  <c r="G14" i="1" l="1"/>
  <c r="H13" i="1"/>
  <c r="A36" i="3"/>
  <c r="C36" i="3"/>
  <c r="D36" i="3"/>
  <c r="A37" i="3"/>
  <c r="B37" i="3"/>
  <c r="G37" i="3" s="1"/>
  <c r="C37" i="3"/>
  <c r="D37" i="3"/>
  <c r="A38" i="3"/>
  <c r="C38" i="3"/>
  <c r="D38" i="3"/>
  <c r="A39" i="3"/>
  <c r="C39" i="3"/>
  <c r="D39" i="3"/>
  <c r="A40" i="3"/>
  <c r="C40" i="3"/>
  <c r="D40" i="3"/>
  <c r="A41" i="3"/>
  <c r="C41" i="3"/>
  <c r="D41" i="3"/>
  <c r="A42" i="3"/>
  <c r="C42" i="3"/>
  <c r="D42" i="3"/>
  <c r="A43" i="3"/>
  <c r="B43" i="3"/>
  <c r="G43" i="3" s="1"/>
  <c r="C43" i="3"/>
  <c r="D43" i="3"/>
  <c r="A44" i="3"/>
  <c r="C44" i="3"/>
  <c r="D44" i="3"/>
  <c r="A45" i="3"/>
  <c r="B45" i="3"/>
  <c r="G45" i="3" s="1"/>
  <c r="C45" i="3"/>
  <c r="D45" i="3"/>
  <c r="A46" i="3"/>
  <c r="C46" i="3"/>
  <c r="D46" i="3"/>
  <c r="A47" i="3"/>
  <c r="C47" i="3"/>
  <c r="D47" i="3"/>
  <c r="A48" i="3"/>
  <c r="C48" i="3"/>
  <c r="D48" i="3"/>
  <c r="A49" i="3"/>
  <c r="C49" i="3"/>
  <c r="D49" i="3"/>
  <c r="A50" i="3"/>
  <c r="B50" i="3"/>
  <c r="G50" i="3" s="1"/>
  <c r="C50" i="3"/>
  <c r="D50" i="3"/>
  <c r="A51" i="3"/>
  <c r="B51" i="3"/>
  <c r="G51" i="3" s="1"/>
  <c r="C51" i="3"/>
  <c r="D51" i="3"/>
  <c r="E46" i="1" l="1"/>
  <c r="B46" i="3" s="1"/>
  <c r="G46" i="3" s="1"/>
  <c r="E38" i="1" l="1"/>
  <c r="G39" i="1" s="1"/>
  <c r="B38" i="3" l="1"/>
  <c r="G38" i="3" s="1"/>
  <c r="E40" i="1"/>
  <c r="E42" i="1"/>
  <c r="B42" i="3" s="1"/>
  <c r="G42" i="3" s="1"/>
  <c r="E39" i="1"/>
  <c r="B39" i="3" s="1"/>
  <c r="G39" i="3" s="1"/>
  <c r="H42" i="1"/>
  <c r="H40" i="1"/>
  <c r="H39" i="1"/>
  <c r="E5" i="1"/>
  <c r="H8" i="1" s="1"/>
  <c r="E41" i="1" l="1"/>
  <c r="B41" i="3" s="1"/>
  <c r="G41" i="3" s="1"/>
  <c r="B40" i="3"/>
  <c r="G40" i="3" s="1"/>
  <c r="D20" i="2" l="1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23" i="1" l="1"/>
  <c r="E35" i="1"/>
  <c r="E36" i="1" s="1"/>
  <c r="H36" i="1" s="1"/>
  <c r="E33" i="1"/>
  <c r="B36" i="3" l="1"/>
  <c r="G36" i="3" s="1"/>
  <c r="H35" i="1"/>
  <c r="H33" i="1"/>
  <c r="E34" i="1"/>
  <c r="H34" i="1" s="1"/>
  <c r="E15" i="1"/>
  <c r="E25" i="1"/>
  <c r="E20" i="1"/>
  <c r="B44" i="3" l="1"/>
  <c r="G44" i="3" s="1"/>
  <c r="H44" i="1" l="1"/>
  <c r="E31" i="1"/>
  <c r="D27" i="3" l="1"/>
  <c r="D28" i="3"/>
  <c r="D29" i="3"/>
  <c r="D30" i="3"/>
  <c r="D31" i="3"/>
  <c r="D32" i="3"/>
  <c r="D33" i="3"/>
  <c r="D34" i="3"/>
  <c r="D3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5" i="3"/>
  <c r="A6" i="3"/>
  <c r="A7" i="3"/>
  <c r="B7" i="3"/>
  <c r="B22" i="3"/>
  <c r="C25" i="3"/>
  <c r="C26" i="3"/>
  <c r="C27" i="3"/>
  <c r="C28" i="3"/>
  <c r="C29" i="3"/>
  <c r="C30" i="3"/>
  <c r="C31" i="3"/>
  <c r="C32" i="3"/>
  <c r="C33" i="3"/>
  <c r="C34" i="3"/>
  <c r="C3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E32" i="1" l="1"/>
  <c r="B32" i="3" s="1"/>
  <c r="B31" i="3"/>
  <c r="E30" i="1"/>
  <c r="B30" i="3" s="1"/>
  <c r="B29" i="3"/>
  <c r="E28" i="1"/>
  <c r="B28" i="3" s="1"/>
  <c r="E27" i="1"/>
  <c r="B27" i="3" s="1"/>
  <c r="E26" i="1"/>
  <c r="B26" i="3" s="1"/>
  <c r="B25" i="3"/>
  <c r="H24" i="1"/>
  <c r="B35" i="3" l="1"/>
  <c r="B34" i="3"/>
  <c r="B33" i="3"/>
  <c r="E24" i="1"/>
  <c r="B24" i="3" s="1"/>
  <c r="B23" i="3"/>
  <c r="E18" i="1"/>
  <c r="B18" i="3" s="1"/>
  <c r="E17" i="1"/>
  <c r="E16" i="1"/>
  <c r="B16" i="3" s="1"/>
  <c r="B17" i="3" l="1"/>
  <c r="E6" i="1"/>
  <c r="G17" i="1" l="1"/>
  <c r="H21" i="1"/>
  <c r="E21" i="1"/>
  <c r="B21" i="3" s="1"/>
  <c r="G11" i="1"/>
  <c r="H17" i="1"/>
  <c r="B6" i="3"/>
  <c r="E19" i="1"/>
  <c r="B19" i="3" s="1"/>
  <c r="B14" i="3" l="1"/>
  <c r="E47" i="1" l="1"/>
  <c r="B47" i="3" s="1"/>
  <c r="G47" i="3" s="1"/>
  <c r="B20" i="3" l="1"/>
  <c r="B15" i="3" l="1"/>
  <c r="G10" i="1" l="1"/>
  <c r="E11" i="1" l="1"/>
  <c r="H11" i="1" s="1"/>
  <c r="E12" i="1"/>
  <c r="H20" i="1" s="1"/>
  <c r="B10" i="3" l="1"/>
  <c r="B12" i="3"/>
  <c r="G7" i="3"/>
  <c r="A8" i="3"/>
  <c r="G21" i="3"/>
  <c r="G34" i="3" l="1"/>
  <c r="E13" i="1" l="1"/>
  <c r="G20" i="1" l="1"/>
  <c r="B13" i="3"/>
  <c r="G19" i="3" l="1"/>
  <c r="G18" i="3" l="1"/>
  <c r="B9" i="3" l="1"/>
  <c r="B11" i="3" l="1"/>
  <c r="G11" i="3" s="1"/>
  <c r="G12" i="3"/>
  <c r="G10" i="3"/>
  <c r="G9" i="3"/>
  <c r="G20" i="3" l="1"/>
  <c r="D5" i="3"/>
  <c r="C5" i="3"/>
  <c r="E49" i="1" l="1"/>
  <c r="B49" i="3" s="1"/>
  <c r="G49" i="3" s="1"/>
  <c r="E48" i="1"/>
  <c r="B48" i="3" s="1"/>
  <c r="G48" i="3" s="1"/>
  <c r="G33" i="3" l="1"/>
  <c r="G17" i="3"/>
  <c r="G15" i="3"/>
  <c r="G25" i="3" l="1"/>
  <c r="G14" i="3"/>
  <c r="F2" i="3"/>
  <c r="G32" i="3"/>
  <c r="G22" i="3"/>
  <c r="G27" i="3"/>
  <c r="G31" i="3"/>
  <c r="G35" i="3"/>
  <c r="G26" i="3"/>
  <c r="G30" i="3"/>
  <c r="G16" i="3"/>
  <c r="G23" i="3"/>
  <c r="G24" i="3"/>
  <c r="G13" i="3"/>
  <c r="D56" i="1" l="1"/>
  <c r="C56" i="1"/>
  <c r="G28" i="3"/>
  <c r="G29" i="3"/>
  <c r="F1" i="3" l="1"/>
  <c r="C55" i="1" s="1"/>
  <c r="G8" i="3"/>
  <c r="G6" i="3"/>
  <c r="B5" i="3"/>
  <c r="H51" i="1" l="1"/>
  <c r="I57" i="1"/>
  <c r="G5" i="3"/>
  <c r="H1" i="3" l="1"/>
  <c r="G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FLONET FH30xx</t>
        </r>
        <r>
          <rPr>
            <sz val="9"/>
            <color indexed="81"/>
            <rFont val="Tahoma"/>
            <family val="2"/>
            <charset val="238"/>
          </rPr>
          <t xml:space="preserve"> is a volume flow meter for conductive liquids in pipes. It enables bi-directional flow measurement with high accuracy over the range of flow velocities (0.025 to 10 m/s). The minimum required conductivity of the measured medium is 10 μS/cm, for demineralized water 20 μS/cm.</t>
        </r>
      </text>
    </comment>
    <comment ref="C14" authorId="0" shapeId="0" xr:uid="{3F4C96C7-FB08-4B06-B26E-56C4C2AF65B6}">
      <text>
        <r>
          <rPr>
            <b/>
            <sz val="9"/>
            <color indexed="81"/>
            <rFont val="Tahoma"/>
            <charset val="1"/>
          </rPr>
          <t xml:space="preserve">Nominal pressure </t>
        </r>
        <r>
          <rPr>
            <sz val="9"/>
            <color indexed="81"/>
            <rFont val="Tahoma"/>
            <family val="2"/>
            <charset val="238"/>
          </rPr>
          <t>(PN)</t>
        </r>
        <r>
          <rPr>
            <b/>
            <sz val="9"/>
            <color indexed="81"/>
            <rFont val="Tahoma"/>
            <charset val="1"/>
          </rPr>
          <t xml:space="preserve"> = maximum allowable pressure </t>
        </r>
        <r>
          <rPr>
            <sz val="9"/>
            <color indexed="81"/>
            <rFont val="Tahoma"/>
            <family val="2"/>
            <charset val="238"/>
          </rPr>
          <t>(PSmax)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Standard combinations of nominal pressures and dimensions:
PN 25  ~  DN 6 to 10 (1/8" to 1/4")
PN 40  ~  DN 15 to 50 (1/2"to 2")
PN 16  ~  DN 65 to 200 (2 1/2"to 8")
PN 10  ~  DN 250 to 700 (10" to 28")
PN 6    ~  DN 800 to 1200 (32"to 48") 
</t>
        </r>
      </text>
    </comment>
    <comment ref="D1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This data has no predefined values.
Provide the most accurate description possible</t>
        </r>
      </text>
    </comment>
    <comment ref="D21" authorId="1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Do not fill in the compact version!</t>
        </r>
      </text>
    </comment>
    <comment ref="D23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See sheet "Pulse numbers"</t>
        </r>
      </text>
    </comment>
    <comment ref="C25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Displayed volume units
</t>
        </r>
      </text>
    </comment>
    <comment ref="C26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Displayed flow units
</t>
        </r>
      </text>
    </comment>
    <comment ref="D3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35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Q = Q₃
</t>
        </r>
      </text>
    </comment>
    <comment ref="D39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4</t>
        </r>
        <r>
          <rPr>
            <sz val="9"/>
            <color indexed="81"/>
            <rFont val="Tahoma"/>
            <family val="2"/>
            <charset val="238"/>
          </rPr>
          <t xml:space="preserve"> = standard</t>
        </r>
      </text>
    </comment>
    <comment ref="D40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Baud (Bd) is a unit of modulation rate indicating the number of changes in the state of the transmission medium per 1 second.</t>
        </r>
      </text>
    </comment>
    <comment ref="C4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 xml:space="preserve">Accessories:
</t>
        </r>
        <r>
          <rPr>
            <sz val="9"/>
            <color indexed="81"/>
            <rFont val="Tahoma"/>
            <family val="2"/>
            <charset val="238"/>
          </rPr>
          <t>USB / RS-485 converter,
connecting cables,
User Manual.</t>
        </r>
      </text>
    </comment>
    <comment ref="D42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Through the FLOSET program, the flow meter can be connected to a computer (PC, laptop, tablet) on which Windows 7 and higher (or Linux, iOS) with JAVA 8u40 and higher is installed.</t>
        </r>
      </text>
    </comment>
    <comment ref="C43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 xml:space="preserve">The calibration and the official verification is icluded.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4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You will always receive a calibration report when calibrating.</t>
        </r>
      </text>
    </comment>
    <comment ref="D52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Product IDO</t>
        </r>
        <r>
          <rPr>
            <sz val="9"/>
            <color indexed="81"/>
            <rFont val="Tahoma"/>
            <family val="2"/>
            <charset val="238"/>
          </rPr>
          <t xml:space="preserve"> (Bill of Material No. incl. execution) is entered here by an authorized ELIS employee, if the product is in the Helios database.</t>
        </r>
      </text>
    </comment>
    <comment ref="C59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 xml:space="preserve">To type in this field, </t>
        </r>
        <r>
          <rPr>
            <b/>
            <sz val="9"/>
            <color indexed="81"/>
            <rFont val="Tahoma"/>
            <family val="2"/>
            <charset val="238"/>
          </rPr>
          <t>double-click</t>
        </r>
        <r>
          <rPr>
            <sz val="9"/>
            <color indexed="81"/>
            <rFont val="Tahoma"/>
            <family val="2"/>
            <charset val="238"/>
          </rPr>
          <t xml:space="preserve"> in the field (double click - the cursor appears ...).
(New Line = </t>
        </r>
        <r>
          <rPr>
            <b/>
            <sz val="9"/>
            <color indexed="81"/>
            <rFont val="Tahoma"/>
            <family val="2"/>
            <charset val="238"/>
          </rPr>
          <t>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70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85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50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 xml:space="preserve">Měření vždy OBOUSMĚRNÉ
</t>
        </r>
      </text>
    </comment>
    <comment ref="A195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00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21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B248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Pro nastavený nulový průtok a referenční podmínky: 
Relativní chyba                Rozsah průtoků
±0,5 % z měřené hodnoty   5–100% Q₄</t>
        </r>
      </text>
    </comment>
    <comment ref="B249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Pro nastavený nulový průtok a referenční podmínky: 
Relativní chyba                Rozsah průtoků
±0,2 % z měřené hodnoty 10–100% Q₄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<sst xmlns="http://schemas.openxmlformats.org/spreadsheetml/2006/main" count="576" uniqueCount="381">
  <si>
    <t>-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</si>
  <si>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</si>
  <si>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</si>
  <si>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</si>
  <si>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</si>
  <si>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</si>
  <si>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</si>
  <si>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</si>
  <si>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</si>
  <si>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</si>
  <si>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</si>
  <si>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</si>
  <si>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</si>
  <si>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</si>
  <si>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</si>
  <si>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</si>
  <si>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</si>
  <si>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</si>
  <si>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</si>
  <si>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</si>
  <si>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</si>
  <si>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</si>
  <si>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</si>
  <si>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</si>
  <si>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</si>
  <si>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</si>
  <si>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Objednací číslo</t>
  </si>
  <si>
    <t>Hastelloy C-276</t>
  </si>
  <si>
    <t>Pol.</t>
  </si>
  <si>
    <t>1</t>
  </si>
  <si>
    <t>l/s</t>
  </si>
  <si>
    <t>l/min</t>
  </si>
  <si>
    <t>Není nabízena ze seznamu</t>
  </si>
  <si>
    <t>1 200 Bd</t>
  </si>
  <si>
    <t>2 400 Bd</t>
  </si>
  <si>
    <t>4 800 Bd</t>
  </si>
  <si>
    <t>19 200 Bd</t>
  </si>
  <si>
    <t>38 400 Bd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</si>
  <si>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</si>
  <si>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</si>
  <si>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</si>
  <si>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</si>
  <si>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</si>
  <si>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PN 10</t>
  </si>
  <si>
    <t>Není nabízen ze seznamu</t>
  </si>
  <si>
    <t>00</t>
  </si>
  <si>
    <t>Pozice</t>
  </si>
  <si>
    <t>Kód</t>
  </si>
  <si>
    <t>Název</t>
  </si>
  <si>
    <t>Hodnota</t>
  </si>
  <si>
    <t>50</t>
  </si>
  <si>
    <t>Žádná jednotka (impulzní číslo není požadováno)</t>
  </si>
  <si>
    <t>m³/min</t>
  </si>
  <si>
    <t>x</t>
  </si>
  <si>
    <t>xx</t>
  </si>
  <si>
    <t>x4</t>
  </si>
  <si>
    <r>
      <t>35 % Q</t>
    </r>
    <r>
      <rPr>
        <sz val="11"/>
        <color theme="1"/>
        <rFont val="Calibri"/>
        <family val="2"/>
        <charset val="238"/>
      </rPr>
      <t>₁</t>
    </r>
  </si>
  <si>
    <t>200</t>
  </si>
  <si>
    <t>250</t>
  </si>
  <si>
    <t>150</t>
  </si>
  <si>
    <t>English</t>
  </si>
  <si>
    <t>Dutch</t>
  </si>
  <si>
    <t>Español</t>
  </si>
  <si>
    <t>Polski</t>
  </si>
  <si>
    <t>Français</t>
  </si>
  <si>
    <t>Italiano</t>
  </si>
  <si>
    <t>Deutsch</t>
  </si>
  <si>
    <t>По Русски</t>
  </si>
  <si>
    <t>Português</t>
  </si>
  <si>
    <t>l/h</t>
  </si>
  <si>
    <t>bbl/s</t>
  </si>
  <si>
    <t>bbl/min</t>
  </si>
  <si>
    <t>bbl/h</t>
  </si>
  <si>
    <t>bbl/den</t>
  </si>
  <si>
    <t>ft³/s</t>
  </si>
  <si>
    <t>ft³/min</t>
  </si>
  <si>
    <t>ft³/h</t>
  </si>
  <si>
    <t>Imp gal/s</t>
  </si>
  <si>
    <t>Imp gal/min</t>
  </si>
  <si>
    <t>Imp gal/h</t>
  </si>
  <si>
    <t>l</t>
  </si>
  <si>
    <t>bbl</t>
  </si>
  <si>
    <t>bblLiq</t>
  </si>
  <si>
    <t>hl</t>
  </si>
  <si>
    <t>Imp gal</t>
  </si>
  <si>
    <t>yd³</t>
  </si>
  <si>
    <t>ft³</t>
  </si>
  <si>
    <t>in³</t>
  </si>
  <si>
    <t>x2</t>
  </si>
  <si>
    <t>300 Bd</t>
  </si>
  <si>
    <t>600 Bd</t>
  </si>
  <si>
    <t>56 800 Bd</t>
  </si>
  <si>
    <t>milion l</t>
  </si>
  <si>
    <t>US liquid gal</t>
  </si>
  <si>
    <t>milion US liquid gal</t>
  </si>
  <si>
    <t>bush US</t>
  </si>
  <si>
    <r>
      <t>m</t>
    </r>
    <r>
      <rPr>
        <sz val="11"/>
        <rFont val="Calibri"/>
        <family val="2"/>
        <charset val="238"/>
      </rPr>
      <t>³</t>
    </r>
    <r>
      <rPr>
        <sz val="11"/>
        <rFont val="Calibri"/>
        <family val="2"/>
        <charset val="238"/>
        <scheme val="minor"/>
      </rPr>
      <t>/s</t>
    </r>
  </si>
  <si>
    <t>US liquid gal/s (GPS)</t>
  </si>
  <si>
    <t>US liquid gal/min (GPM)</t>
  </si>
  <si>
    <r>
      <t>HART</t>
    </r>
    <r>
      <rPr>
        <sz val="16"/>
        <rFont val="Calibri"/>
        <family val="2"/>
        <charset val="238"/>
        <scheme val="minor"/>
      </rPr>
      <t>®</t>
    </r>
  </si>
  <si>
    <t>TYPE IDENTIFICATION</t>
  </si>
  <si>
    <t>Code ON</t>
  </si>
  <si>
    <t>Flowmeter version and equipment</t>
  </si>
  <si>
    <t>TECHNICAL PARAMETERS</t>
  </si>
  <si>
    <t>Dimension of sensor DN/max flow rate</t>
  </si>
  <si>
    <t>Electrodes material</t>
  </si>
  <si>
    <t>Sensor lining</t>
  </si>
  <si>
    <t>Sensor protection</t>
  </si>
  <si>
    <t>Grounding electrodes</t>
  </si>
  <si>
    <t>Power supply</t>
  </si>
  <si>
    <t>Type of measured liquid</t>
  </si>
  <si>
    <t>Grounding rings</t>
  </si>
  <si>
    <t>Length of cable</t>
  </si>
  <si>
    <t>FLOW METER SETTINGS</t>
  </si>
  <si>
    <t>Number of samples for averaging</t>
  </si>
  <si>
    <t>Measurement in sensitivity</t>
  </si>
  <si>
    <t>Current output Flow rate</t>
  </si>
  <si>
    <t>Output OUT 1</t>
  </si>
  <si>
    <t>Output OUT 1 functions</t>
  </si>
  <si>
    <t>Output OUT 2</t>
  </si>
  <si>
    <t>Output OUT 2 functions</t>
  </si>
  <si>
    <t>PURCHASE CONDITIONS</t>
  </si>
  <si>
    <t>Number of pieces</t>
  </si>
  <si>
    <t>Packaging</t>
  </si>
  <si>
    <t>Delivery</t>
  </si>
  <si>
    <t>Warranty</t>
  </si>
  <si>
    <t>RELATED REGULATIONS</t>
  </si>
  <si>
    <t>Number of manual flowmeter</t>
  </si>
  <si>
    <t>IDO of flowmeter (given by ELIS)</t>
  </si>
  <si>
    <t>In case of possible copying of the Order No. listed on the left</t>
  </si>
  <si>
    <t>use function "Insert values"!</t>
  </si>
  <si>
    <t>Date</t>
  </si>
  <si>
    <t>Company</t>
  </si>
  <si>
    <t>Your inquiry / order number</t>
  </si>
  <si>
    <t>Item number in the inquiry / order</t>
  </si>
  <si>
    <t>Recommended value</t>
  </si>
  <si>
    <t>Error message / note</t>
  </si>
  <si>
    <t>The table serves as an attachment to the inquiry or order and for production sector.</t>
  </si>
  <si>
    <t xml:space="preserve">   </t>
  </si>
  <si>
    <r>
      <t>Max operating medium temperat. (TS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</si>
  <si>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t>Transmitter protection class</t>
  </si>
  <si>
    <t>Units of volume</t>
  </si>
  <si>
    <t>Flow units</t>
  </si>
  <si>
    <t>Display</t>
  </si>
  <si>
    <t>Flow 100% (l/s)</t>
  </si>
  <si>
    <t>Address - enter from 1 to 247</t>
  </si>
  <si>
    <t>Transmission speed</t>
  </si>
  <si>
    <t>FLOSET 4.0 with accessories</t>
  </si>
  <si>
    <t>Code</t>
  </si>
  <si>
    <t>Non-standard</t>
  </si>
  <si>
    <t>COMFORT compact</t>
  </si>
  <si>
    <t>COMFORT remote</t>
  </si>
  <si>
    <t>Complete stainless steel 1.4301</t>
  </si>
  <si>
    <t>Stainless steel 1.4571</t>
  </si>
  <si>
    <t>Platina-Rhodium PtRh20</t>
  </si>
  <si>
    <t>Tantalum</t>
  </si>
  <si>
    <t>Titanium Gr.2 ASTM B348-03</t>
  </si>
  <si>
    <t>Standard IP 67</t>
  </si>
  <si>
    <t>Grounding electrode</t>
  </si>
  <si>
    <t>YES</t>
  </si>
  <si>
    <t>No</t>
  </si>
  <si>
    <r>
      <t>Maximum operation temperature of medium (TS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</si>
  <si>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t>95 to 250 V AC, 45 to 65 Hz</t>
  </si>
  <si>
    <t>24 V DC ±20 %  (19,2 to 28,8 V DC)</t>
  </si>
  <si>
    <t>Protection of the transmitter</t>
  </si>
  <si>
    <t>Above standard IP 68</t>
  </si>
  <si>
    <t>Measured fluid</t>
  </si>
  <si>
    <t>Water</t>
  </si>
  <si>
    <t>Description of measured liquid</t>
  </si>
  <si>
    <t>Without grounding rings</t>
  </si>
  <si>
    <t xml:space="preserve">Length of cables </t>
  </si>
  <si>
    <t xml:space="preserve">Without cables </t>
  </si>
  <si>
    <t xml:space="preserve">Pulse number </t>
  </si>
  <si>
    <t>Units of pulse number</t>
  </si>
  <si>
    <t>hl/pulse</t>
  </si>
  <si>
    <t>milion l/pulse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</si>
  <si>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/pulse</t>
    </r>
  </si>
  <si>
    <t>US liquid gal/pulse</t>
  </si>
  <si>
    <t>milion US liquid gal/pulse</t>
  </si>
  <si>
    <t>Imp gal/pulse</t>
  </si>
  <si>
    <t>bbl/pulse</t>
  </si>
  <si>
    <t>bblLiq/pulse</t>
  </si>
  <si>
    <t>bush US/pulse</t>
  </si>
  <si>
    <t>in³/pulse</t>
  </si>
  <si>
    <t>ft³/pulse</t>
  </si>
  <si>
    <t>yd³/pulse</t>
  </si>
  <si>
    <t>Units of flow rate</t>
  </si>
  <si>
    <t>Numbers samples for avaraging</t>
  </si>
  <si>
    <t>Insensitivity of measurement</t>
  </si>
  <si>
    <t>Czech</t>
  </si>
  <si>
    <t>Time/date</t>
  </si>
  <si>
    <t>Operation time</t>
  </si>
  <si>
    <t>Excitation current</t>
  </si>
  <si>
    <t>Percentage flow rate</t>
  </si>
  <si>
    <t>Last error</t>
  </si>
  <si>
    <t>Flow rate 100% (l/s)</t>
  </si>
  <si>
    <t>Current output</t>
  </si>
  <si>
    <t>Displayed language</t>
  </si>
  <si>
    <t>m³/day</t>
  </si>
  <si>
    <t>ft³/day</t>
  </si>
  <si>
    <t>US liquid gal/hr (GPH)</t>
  </si>
  <si>
    <t>US liquid gal/day (GPD)</t>
  </si>
  <si>
    <t>milion US liquid gal/day</t>
  </si>
  <si>
    <t>Imp gal/day</t>
  </si>
  <si>
    <r>
      <t xml:space="preserve">Frequency - non-standard (Q </t>
    </r>
    <r>
      <rPr>
        <sz val="11"/>
        <rFont val="Calibri"/>
        <family val="2"/>
        <charset val="238"/>
      </rPr>
      <t>≠</t>
    </r>
    <r>
      <rPr>
        <sz val="11"/>
        <rFont val="Calibri"/>
        <family val="2"/>
        <charset val="238"/>
        <scheme val="minor"/>
      </rPr>
      <t xml:space="preserve"> Q₃)</t>
    </r>
  </si>
  <si>
    <t>Permanently closed</t>
  </si>
  <si>
    <t>Function OUT1</t>
  </si>
  <si>
    <t>Negative</t>
  </si>
  <si>
    <r>
      <t>Indication of limit flow Q &gt; Qlimit</t>
    </r>
    <r>
      <rPr>
        <sz val="9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(Qlimit = Q₃  -  closes, if Q &gt; Qlimit)</t>
    </r>
  </si>
  <si>
    <t>Indication of stay withour defect
(It is closed, if the flow meter is without any defect)</t>
  </si>
  <si>
    <r>
      <t>Indication of limit flow Q| &gt; Qlimit</t>
    </r>
    <r>
      <rPr>
        <vertAlign val="subscript"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(Qlimit = Q₃  -  closes, if|Q| &gt; Qlimit)</t>
    </r>
  </si>
  <si>
    <t>Frequency - non-standard (Q ≠ Q₃)</t>
  </si>
  <si>
    <t>Indication of limit flow  &gt; Qlimit
(Qlimit = Q₃  -  closes, if is Q &gt; Qlimit)</t>
  </si>
  <si>
    <t>Indication of limit flow Q| &gt; Qlimit
(Qlimit = Q₃  -  closes, if is |Q| &gt; Qlimit)</t>
  </si>
  <si>
    <t>Indication of the stay without defect
(it is closed, if the flow meter is without any defect)</t>
  </si>
  <si>
    <t>Function of OUT2</t>
  </si>
  <si>
    <t>Address</t>
  </si>
  <si>
    <t xml:space="preserve">Speed of transfer </t>
  </si>
  <si>
    <t>Yes</t>
  </si>
  <si>
    <t>FLOSET 4.0 incl. accessories</t>
  </si>
  <si>
    <t>Metrological requests</t>
  </si>
  <si>
    <t>Without metrological verification</t>
  </si>
  <si>
    <t>Standard calibration acc to EN ISO 4064-1, accuracy class 2</t>
  </si>
  <si>
    <t>Above standard calibration with accuracy ±0,5 %</t>
  </si>
  <si>
    <t>Above standard calibration with accuracy ±0,2 %</t>
  </si>
  <si>
    <t xml:space="preserve">Non - standard metrological request </t>
  </si>
  <si>
    <t>Packing</t>
  </si>
  <si>
    <t>Unpacking</t>
  </si>
  <si>
    <t>Standard</t>
  </si>
  <si>
    <t>Method of delivery og goods</t>
  </si>
  <si>
    <t>Personally</t>
  </si>
  <si>
    <t>By shipping agent on supplier's costs</t>
  </si>
  <si>
    <t>By shipping agent on buyer's costs</t>
  </si>
  <si>
    <t>6 months</t>
  </si>
  <si>
    <t>18 months</t>
  </si>
  <si>
    <t>24 months</t>
  </si>
  <si>
    <t>36 months</t>
  </si>
  <si>
    <t>milion l/day</t>
  </si>
  <si>
    <t>Pulse number</t>
  </si>
  <si>
    <r>
      <t>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to  Q+  acc to a request</t>
    </r>
  </si>
  <si>
    <r>
      <t>0 ÷ |</t>
    </r>
    <r>
      <rPr>
        <sz val="11"/>
        <color theme="1"/>
        <rFont val="Calibri"/>
        <family val="2"/>
        <charset val="238"/>
        <scheme val="minor"/>
      </rPr>
      <t>Q|  acc to a request</t>
    </r>
  </si>
  <si>
    <t>The above parameters defining the design of the product.</t>
  </si>
  <si>
    <t>Click each white field in column D to turn it off (most of the predefined values       ).</t>
  </si>
  <si>
    <t>NPS</t>
  </si>
  <si>
    <r>
      <t>Q</t>
    </r>
    <r>
      <rPr>
        <b/>
        <vertAlign val="subscript"/>
        <sz val="11"/>
        <color theme="1"/>
        <rFont val="Calibri"/>
        <family val="2"/>
      </rPr>
      <t>4</t>
    </r>
  </si>
  <si>
    <t>(v = 10 m/s)</t>
  </si>
  <si>
    <r>
      <t>[m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>/h]</t>
    </r>
  </si>
  <si>
    <t>[l/s]</t>
  </si>
  <si>
    <t>V</t>
  </si>
  <si>
    <t>f</t>
  </si>
  <si>
    <r>
      <t>P</t>
    </r>
    <r>
      <rPr>
        <vertAlign val="subscript"/>
        <sz val="11"/>
        <color theme="1"/>
        <rFont val="Calibri"/>
        <family val="2"/>
        <charset val="238"/>
      </rPr>
      <t>max</t>
    </r>
  </si>
  <si>
    <t>Pmax</t>
  </si>
  <si>
    <t>[Hz]</t>
  </si>
  <si>
    <t>[ms]</t>
  </si>
  <si>
    <t>½“</t>
  </si>
  <si>
    <t>¾“</t>
  </si>
  <si>
    <t>1“</t>
  </si>
  <si>
    <t>1 ¼“</t>
  </si>
  <si>
    <t>1 ½“</t>
  </si>
  <si>
    <t>2“</t>
  </si>
  <si>
    <t>2 ½“</t>
  </si>
  <si>
    <t>3“</t>
  </si>
  <si>
    <t>4“</t>
  </si>
  <si>
    <r>
      <t xml:space="preserve">DN
</t>
    </r>
    <r>
      <rPr>
        <sz val="10"/>
        <color rgb="FF000000"/>
        <rFont val="Calibri"/>
        <family val="2"/>
        <charset val="238"/>
      </rPr>
      <t>[mm]</t>
    </r>
  </si>
  <si>
    <t>width</t>
  </si>
  <si>
    <t>f pulse</t>
  </si>
  <si>
    <t xml:space="preserve">volume </t>
  </si>
  <si>
    <t>for Q4</t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</si>
  <si>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50 Hz (standard)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</si>
  <si>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</si>
  <si>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</si>
  <si>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 Hz</t>
    </r>
  </si>
  <si>
    <t>pulse</t>
  </si>
  <si>
    <t>Displayed languague</t>
  </si>
  <si>
    <t>Stainless steel  1.4571</t>
  </si>
  <si>
    <t>Non-standard units</t>
  </si>
  <si>
    <t>50 °C / 122 °F</t>
  </si>
  <si>
    <t>60 °C / 140 °F</t>
  </si>
  <si>
    <t>70 °C / 158 °F</t>
  </si>
  <si>
    <t>80 °C / 176 °F</t>
  </si>
  <si>
    <t>90 °C / 194 °F</t>
  </si>
  <si>
    <t>110 °C / 230 °F</t>
  </si>
  <si>
    <t>120 °C / 248 °F</t>
  </si>
  <si>
    <t>130 °C / 266 °F</t>
  </si>
  <si>
    <t>150 °C / 302 °F</t>
  </si>
  <si>
    <r>
      <t>HART</t>
    </r>
    <r>
      <rPr>
        <b/>
        <sz val="14"/>
        <color theme="1"/>
        <rFont val="Calibri"/>
        <family val="2"/>
        <charset val="238"/>
        <scheme val="minor"/>
      </rPr>
      <t xml:space="preserve">® </t>
    </r>
    <r>
      <rPr>
        <i/>
        <sz val="10"/>
        <color rgb="FFC00000"/>
        <rFont val="Calibri"/>
        <family val="2"/>
        <charset val="238"/>
        <scheme val="minor"/>
      </rPr>
      <t>(na listu Specifikace zatím skrytý řádek)</t>
    </r>
  </si>
  <si>
    <r>
      <t xml:space="preserve">Yes     </t>
    </r>
    <r>
      <rPr>
        <i/>
        <sz val="10"/>
        <color rgb="FFC00000"/>
        <rFont val="Calibri"/>
        <family val="2"/>
        <charset val="238"/>
        <scheme val="minor"/>
      </rPr>
      <t>(do not use, still in preparation)</t>
    </r>
  </si>
  <si>
    <t>x1</t>
  </si>
  <si>
    <t>Standard (see sheet "Pulse numbers")</t>
  </si>
  <si>
    <t>Overview of pulse numbers</t>
  </si>
  <si>
    <t>depending on frequency and dimension</t>
  </si>
  <si>
    <r>
      <t xml:space="preserve">Pulse number  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[l/pulse]</t>
    </r>
  </si>
  <si>
    <t>[l/pulse]</t>
  </si>
  <si>
    <t xml:space="preserve">Output OUT2  </t>
  </si>
  <si>
    <t xml:space="preserve">Output OUT1  </t>
  </si>
  <si>
    <t>0 to |Q|  (Q = Q₃)</t>
  </si>
  <si>
    <r>
      <t>Standard flow Q</t>
    </r>
    <r>
      <rPr>
        <sz val="11"/>
        <rFont val="Calibri"/>
        <family val="2"/>
        <charset val="238"/>
      </rPr>
      <t>₃</t>
    </r>
    <r>
      <rPr>
        <sz val="11"/>
        <rFont val="Calibri"/>
        <family val="2"/>
        <charset val="238"/>
        <scheme val="minor"/>
      </rPr>
      <t xml:space="preserve"> </t>
    </r>
  </si>
  <si>
    <t>NOT requested</t>
  </si>
  <si>
    <t xml:space="preserve">NOT requested </t>
  </si>
  <si>
    <t>Customer´s responsible person</t>
  </si>
  <si>
    <t>ELIS responsible person</t>
  </si>
  <si>
    <t>Data on display</t>
  </si>
  <si>
    <t>Sloupec pro zápis návrhu úprav</t>
  </si>
  <si>
    <t>10 m (33 ft)</t>
  </si>
  <si>
    <t>15 m (50 ft)</t>
  </si>
  <si>
    <t>20 m (66 ft)</t>
  </si>
  <si>
    <t>30 m (98 ft)</t>
  </si>
  <si>
    <t>40 m (131 ft)</t>
  </si>
  <si>
    <t>50 m (164 ft)</t>
  </si>
  <si>
    <t>100 m (328 ft)</t>
  </si>
  <si>
    <r>
      <t>Přepočet m</t>
    </r>
    <r>
      <rPr>
        <b/>
        <sz val="11"/>
        <rFont val="Calibri"/>
        <family val="2"/>
        <charset val="238"/>
      </rPr>
      <t>³</t>
    </r>
    <r>
      <rPr>
        <b/>
        <sz val="11"/>
        <rFont val="Calibri"/>
        <family val="2"/>
        <charset val="238"/>
        <scheme val="minor"/>
      </rPr>
      <t xml:space="preserve"> na US Gal</t>
    </r>
  </si>
  <si>
    <t>US gal/h</t>
  </si>
  <si>
    <r>
      <t>m</t>
    </r>
    <r>
      <rPr>
        <sz val="9"/>
        <rFont val="Calibri"/>
        <family val="2"/>
        <charset val="238"/>
      </rPr>
      <t>³</t>
    </r>
    <r>
      <rPr>
        <sz val="9"/>
        <rFont val="Calibri"/>
        <family val="2"/>
        <charset val="238"/>
        <scheme val="minor"/>
      </rPr>
      <t>/h</t>
    </r>
  </si>
  <si>
    <r>
      <t>US gal/m</t>
    </r>
    <r>
      <rPr>
        <sz val="9"/>
        <color theme="1"/>
        <rFont val="Calibri"/>
        <family val="2"/>
        <charset val="238"/>
      </rPr>
      <t>³</t>
    </r>
    <r>
      <rPr>
        <sz val="9"/>
        <color theme="1"/>
        <rFont val="Calibri"/>
        <family val="2"/>
        <charset val="238"/>
        <scheme val="minor"/>
      </rPr>
      <t xml:space="preserve">: </t>
    </r>
  </si>
  <si>
    <t>US GPM
(US gal/min)</t>
  </si>
  <si>
    <t>Dimension of sensor</t>
  </si>
  <si>
    <t>l/pulse (standardly)</t>
  </si>
  <si>
    <t>m³ (standardly)</t>
  </si>
  <si>
    <t>m³/h (standardly)</t>
  </si>
  <si>
    <t>50 % Q₁ (standardly)</t>
  </si>
  <si>
    <t>Total volume (standardly)</t>
  </si>
  <si>
    <t>Q- to  Q+  (Q = Q₃) (standardly)</t>
  </si>
  <si>
    <t>9 600 Bd (standardly)</t>
  </si>
  <si>
    <t>12 months (standardly)</t>
  </si>
  <si>
    <t>5 m (16 ft) (standardly)</t>
  </si>
  <si>
    <t xml:space="preserve">Non-standard IP 68 </t>
  </si>
  <si>
    <t>100 (standardly)</t>
  </si>
  <si>
    <t>Positive (standardly)</t>
  </si>
  <si>
    <t>Výstup OUT2 není požadován či není pulzní</t>
  </si>
  <si>
    <t>Výstup OUT1 není požadován či není pulzní</t>
  </si>
  <si>
    <t xml:space="preserve">Pulse - non-standard pulses or pulse number </t>
  </si>
  <si>
    <t>Pulse for Q+ 
standard pulse width and pulse number, see sheet "Pulse numbers"</t>
  </si>
  <si>
    <r>
      <t>Pulse for 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
standard pulse width and pulse number, see sheet "Pulse numbers"</t>
    </r>
  </si>
  <si>
    <t>Pulse for |Q|
standard pulse width and pulse number, see sheet "Pulse numbers"</t>
  </si>
  <si>
    <t>Interface</t>
  </si>
  <si>
    <t>RS-485 MODBUS RTU</t>
  </si>
  <si>
    <t>Not required</t>
  </si>
  <si>
    <t>COMMUNICATION SETTINGS</t>
  </si>
  <si>
    <t>Ordering number</t>
  </si>
  <si>
    <t xml:space="preserve"> </t>
  </si>
  <si>
    <t>Description of the measured liquid</t>
  </si>
  <si>
    <r>
      <t>Here specify all parameters marked as NON-STANDARD</t>
    </r>
    <r>
      <rPr>
        <sz val="12"/>
        <color theme="1"/>
        <rFont val="Calibri"/>
        <family val="2"/>
        <charset val="238"/>
        <scheme val="minor"/>
      </rPr>
      <t xml:space="preserve"> (code "x")</t>
    </r>
  </si>
  <si>
    <r>
      <t xml:space="preserve">These parameters </t>
    </r>
    <r>
      <rPr>
        <sz val="12"/>
        <color theme="1"/>
        <rFont val="Calibri"/>
        <family val="2"/>
        <charset val="238"/>
        <scheme val="minor"/>
      </rPr>
      <t>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</si>
  <si>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t>Frequency for |Q| 
0 to 10 kHz  ~  0 to Q₃</t>
  </si>
  <si>
    <t xml:space="preserve">Frequency for |Q| (standardly) 
0 to 1 kHz  ~  0 to Q₃ </t>
  </si>
  <si>
    <t xml:space="preserve">Frequency for |Q| (standardly)  
0 to 1 kHz  ~  0 to Q₃ </t>
  </si>
  <si>
    <t>Frequency for |Q|  
0 to 10 kHz  ~  0 to Q₃</t>
  </si>
  <si>
    <t>Frequency for Q+  
0 to 10 kHz  ~  0 to Q₃</t>
  </si>
  <si>
    <r>
      <t>Frequency for Q</t>
    </r>
    <r>
      <rPr>
        <sz val="14"/>
        <rFont val="Calibri"/>
        <family val="2"/>
        <charset val="238"/>
        <scheme val="minor"/>
      </rPr>
      <t xml:space="preserve">-  </t>
    </r>
    <r>
      <rPr>
        <sz val="11"/>
        <rFont val="Calibri"/>
        <family val="2"/>
        <charset val="238"/>
        <scheme val="minor"/>
      </rPr>
      <t xml:space="preserve">
0 to 10 kHz  ~  0 to Q₃</t>
    </r>
  </si>
  <si>
    <t>Frequency for Q+  
0 to 1 kHz  ~  0 to Q₃</t>
  </si>
  <si>
    <r>
      <t>Frequency for Q</t>
    </r>
    <r>
      <rPr>
        <sz val="14"/>
        <rFont val="Calibri"/>
        <family val="2"/>
        <charset val="238"/>
        <scheme val="minor"/>
      </rPr>
      <t xml:space="preserve">-  </t>
    </r>
    <r>
      <rPr>
        <sz val="11"/>
        <rFont val="Calibri"/>
        <family val="2"/>
        <charset val="238"/>
        <scheme val="minor"/>
      </rPr>
      <t xml:space="preserve">
0 to 1 kHz  ~  0 to Q₃</t>
    </r>
  </si>
  <si>
    <t>Frequency for Q-  
0 to 10 kHz  ~  0 to Q₃</t>
  </si>
  <si>
    <t>Es90736K</t>
  </si>
  <si>
    <t>CALIBRATION</t>
  </si>
  <si>
    <t>Calibration requirement</t>
  </si>
  <si>
    <t>Specification table for electromagnetic flow meter FLONET FF50xx</t>
  </si>
  <si>
    <r>
      <rPr>
        <b/>
        <sz val="8"/>
        <color rgb="FF000000"/>
        <rFont val="Calibri"/>
        <family val="2"/>
        <charset val="238"/>
      </rPr>
      <t>3/8</t>
    </r>
    <r>
      <rPr>
        <b/>
        <sz val="11"/>
        <color rgb="FF000000"/>
        <rFont val="Calibri"/>
        <family val="2"/>
        <charset val="238"/>
      </rPr>
      <t>“</t>
    </r>
  </si>
  <si>
    <t>Connection of the sensor</t>
  </si>
  <si>
    <t>Clamp DIN 32676</t>
  </si>
  <si>
    <t xml:space="preserve">Tri Clamp®  </t>
  </si>
  <si>
    <t>Clamp ITE Intertechnik</t>
  </si>
  <si>
    <t>Sensor material</t>
  </si>
  <si>
    <t>Complete stainless steel 1.4571</t>
  </si>
  <si>
    <t>Od DN25</t>
  </si>
  <si>
    <t>Nominal (maximum allowable) pressure</t>
  </si>
  <si>
    <t>Nominal and maximum allowable pressure</t>
  </si>
  <si>
    <t>FF50</t>
  </si>
  <si>
    <t>DN10  2.8 m³/h  (NPS 3/8"  12.3 US GPM)</t>
  </si>
  <si>
    <t>DN15  7.87 m³/h  (NPS 1/2"  34.6 US GPM)</t>
  </si>
  <si>
    <t>DN20  12 m³/h  (NPS 3/4"  52.8 US GPM</t>
  </si>
  <si>
    <t>DN25  20 m³/h  (NPS 1"  88.1 US GPM)</t>
  </si>
  <si>
    <t>DN32  31.25m³/h  (NPS 1¼"  137.6 US GPM)</t>
  </si>
  <si>
    <t>DN40  50 m³/h  (NPS 1½"  220.1 US GPM)</t>
  </si>
  <si>
    <t>DN50  79 m³/h  (NPS 2"  347.8 US GPM)</t>
  </si>
  <si>
    <t>DN65  125 m³/h  (NPS 2½"  550.4 US GPM)</t>
  </si>
  <si>
    <t>DN80  200 m³/h  (NPS 3"  880.6 US GPM)</t>
  </si>
  <si>
    <t>DN100  312.5 m³/h  (NPS 4"  1 376 US GPM)</t>
  </si>
  <si>
    <t>Teflon PTFE  (-20 to +150 °C / -4 to +302 °F)</t>
  </si>
  <si>
    <t>PVDF  (-20 to +120 °C / -4 to 248 °F)</t>
  </si>
  <si>
    <t>DIN 11851 food connection</t>
  </si>
  <si>
    <t>Es90163F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</si>
</sst>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000"/>
    <numFmt numFmtId="166" formatCode="0.000"/>
    <numFmt numFmtId="167" formatCode="#,##0.0"/>
    <numFmt numFmtId="168" formatCode="#,##0.00000000000"/>
  </numFmts>
  <fonts count="7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</font>
    <font>
      <b/>
      <vertAlign val="subscript"/>
      <sz val="11"/>
      <color theme="1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</font>
    <font>
      <i/>
      <sz val="10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theme="0" tint="-0.2499465926084170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Calibri"/>
      <family val="2"/>
      <charset val="238"/>
    </font>
    <font>
      <b/>
      <sz val="10"/>
      <color rgb="FF0033CC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6795556505021"/>
        <bgColor auto="1"/>
      </patternFill>
    </fill>
    <fill>
      <patternFill patternType="solid">
        <fgColor rgb="FFCCFF99"/>
        <bgColor indexed="64"/>
      </patternFill>
    </fill>
    <fill>
      <patternFill patternType="solid">
        <fgColor rgb="FFFEE8E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 tint="-0.25098422193060094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49" fontId="22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6" fillId="0" borderId="9" xfId="0" applyNumberFormat="1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>
      <alignment vertical="center"/>
    </xf>
    <xf numFmtId="0" fontId="13" fillId="9" borderId="15" xfId="0" applyFont="1" applyFill="1" applyBorder="1" applyAlignment="1" applyProtection="1">
      <alignment vertical="center"/>
      <protection hidden="1"/>
    </xf>
    <xf numFmtId="0" fontId="20" fillId="0" borderId="30" xfId="0" applyFont="1" applyBorder="1" applyProtection="1">
      <protection hidden="1"/>
    </xf>
    <xf numFmtId="0" fontId="20" fillId="0" borderId="31" xfId="0" applyFont="1" applyBorder="1" applyProtection="1">
      <protection hidden="1"/>
    </xf>
    <xf numFmtId="0" fontId="20" fillId="0" borderId="29" xfId="0" applyFont="1" applyBorder="1" applyAlignment="1" applyProtection="1">
      <alignment wrapText="1"/>
      <protection hidden="1"/>
    </xf>
    <xf numFmtId="0" fontId="39" fillId="0" borderId="5" xfId="0" applyFont="1" applyBorder="1" applyAlignment="1" applyProtection="1">
      <alignment vertical="center" wrapText="1"/>
      <protection locked="0"/>
    </xf>
    <xf numFmtId="0" fontId="28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41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4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48" fillId="0" borderId="0" xfId="0" applyFont="1"/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49" fontId="1" fillId="0" borderId="26" xfId="0" applyNumberFormat="1" applyFont="1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30" fillId="9" borderId="15" xfId="0" applyFont="1" applyFill="1" applyBorder="1" applyAlignment="1" applyProtection="1">
      <alignment vertical="center"/>
      <protection locked="0" hidden="1"/>
    </xf>
    <xf numFmtId="0" fontId="60" fillId="3" borderId="41" xfId="0" applyFont="1" applyFill="1" applyBorder="1" applyAlignment="1">
      <alignment horizontal="centerContinuous" wrapText="1"/>
    </xf>
    <xf numFmtId="0" fontId="60" fillId="3" borderId="42" xfId="0" applyFont="1" applyFill="1" applyBorder="1" applyAlignment="1">
      <alignment horizontal="centerContinuous" vertical="top" wrapText="1"/>
    </xf>
    <xf numFmtId="0" fontId="60" fillId="3" borderId="43" xfId="0" applyFont="1" applyFill="1" applyBorder="1" applyAlignment="1">
      <alignment horizontal="centerContinuous" vertical="top" wrapText="1"/>
    </xf>
    <xf numFmtId="0" fontId="60" fillId="11" borderId="41" xfId="0" applyFont="1" applyFill="1" applyBorder="1" applyAlignment="1">
      <alignment horizontal="centerContinuous" wrapText="1"/>
    </xf>
    <xf numFmtId="0" fontId="60" fillId="11" borderId="42" xfId="0" applyFont="1" applyFill="1" applyBorder="1" applyAlignment="1">
      <alignment horizontal="centerContinuous" vertical="top" wrapText="1"/>
    </xf>
    <xf numFmtId="0" fontId="60" fillId="11" borderId="43" xfId="0" applyFont="1" applyFill="1" applyBorder="1" applyAlignment="1">
      <alignment horizontal="centerContinuous" vertical="top" wrapText="1"/>
    </xf>
    <xf numFmtId="0" fontId="60" fillId="3" borderId="45" xfId="0" applyFont="1" applyFill="1" applyBorder="1" applyAlignment="1">
      <alignment horizontal="center" wrapText="1"/>
    </xf>
    <xf numFmtId="0" fontId="60" fillId="3" borderId="46" xfId="0" applyFont="1" applyFill="1" applyBorder="1" applyAlignment="1">
      <alignment horizontal="center" wrapText="1"/>
    </xf>
    <xf numFmtId="0" fontId="60" fillId="3" borderId="47" xfId="0" applyFont="1" applyFill="1" applyBorder="1" applyAlignment="1">
      <alignment horizontal="center" wrapText="1"/>
    </xf>
    <xf numFmtId="0" fontId="60" fillId="3" borderId="48" xfId="0" applyFont="1" applyFill="1" applyBorder="1" applyAlignment="1">
      <alignment horizontal="center" vertical="top" wrapText="1"/>
    </xf>
    <xf numFmtId="0" fontId="60" fillId="3" borderId="49" xfId="0" applyFont="1" applyFill="1" applyBorder="1" applyAlignment="1">
      <alignment horizontal="center" vertical="top" wrapText="1"/>
    </xf>
    <xf numFmtId="0" fontId="60" fillId="3" borderId="50" xfId="0" applyFont="1" applyFill="1" applyBorder="1" applyAlignment="1">
      <alignment horizontal="center" vertical="top" wrapText="1"/>
    </xf>
    <xf numFmtId="0" fontId="63" fillId="3" borderId="51" xfId="0" applyFont="1" applyFill="1" applyBorder="1" applyAlignment="1">
      <alignment horizontal="center" wrapText="1"/>
    </xf>
    <xf numFmtId="0" fontId="63" fillId="3" borderId="52" xfId="0" applyFont="1" applyFill="1" applyBorder="1" applyAlignment="1">
      <alignment horizontal="center" wrapText="1"/>
    </xf>
    <xf numFmtId="0" fontId="63" fillId="3" borderId="53" xfId="0" applyFont="1" applyFill="1" applyBorder="1" applyAlignment="1">
      <alignment horizontal="center" wrapText="1"/>
    </xf>
    <xf numFmtId="0" fontId="64" fillId="3" borderId="57" xfId="0" applyFont="1" applyFill="1" applyBorder="1" applyAlignment="1">
      <alignment horizontal="center" vertical="top" wrapText="1"/>
    </xf>
    <xf numFmtId="0" fontId="64" fillId="3" borderId="58" xfId="0" applyFont="1" applyFill="1" applyBorder="1" applyAlignment="1">
      <alignment horizontal="center" vertical="top" wrapText="1"/>
    </xf>
    <xf numFmtId="0" fontId="64" fillId="3" borderId="59" xfId="0" applyFont="1" applyFill="1" applyBorder="1" applyAlignment="1">
      <alignment horizontal="center" vertical="top" wrapText="1"/>
    </xf>
    <xf numFmtId="0" fontId="65" fillId="3" borderId="60" xfId="0" applyFont="1" applyFill="1" applyBorder="1" applyAlignment="1">
      <alignment horizontal="right" vertical="center" wrapText="1" indent="1"/>
    </xf>
    <xf numFmtId="0" fontId="66" fillId="3" borderId="39" xfId="0" applyFont="1" applyFill="1" applyBorder="1" applyAlignment="1">
      <alignment horizontal="center" vertical="center" wrapText="1"/>
    </xf>
    <xf numFmtId="166" fontId="58" fillId="3" borderId="40" xfId="0" applyNumberFormat="1" applyFont="1" applyFill="1" applyBorder="1" applyAlignment="1">
      <alignment horizontal="center" vertical="center" wrapText="1"/>
    </xf>
    <xf numFmtId="0" fontId="50" fillId="0" borderId="39" xfId="0" applyFont="1" applyBorder="1" applyAlignment="1">
      <alignment horizontal="right" vertical="center" wrapText="1" indent="1"/>
    </xf>
    <xf numFmtId="4" fontId="58" fillId="3" borderId="61" xfId="0" applyNumberFormat="1" applyFont="1" applyFill="1" applyBorder="1" applyAlignment="1">
      <alignment horizontal="center" vertical="center" wrapText="1"/>
    </xf>
    <xf numFmtId="0" fontId="66" fillId="3" borderId="40" xfId="0" applyFont="1" applyFill="1" applyBorder="1" applyAlignment="1">
      <alignment horizontal="center" vertical="center" wrapText="1"/>
    </xf>
    <xf numFmtId="0" fontId="50" fillId="11" borderId="39" xfId="0" applyFont="1" applyFill="1" applyBorder="1" applyAlignment="1">
      <alignment horizontal="right" vertical="center" wrapText="1" indent="1"/>
    </xf>
    <xf numFmtId="0" fontId="58" fillId="3" borderId="40" xfId="0" applyFont="1" applyFill="1" applyBorder="1" applyAlignment="1">
      <alignment horizontal="center" vertical="center" wrapText="1"/>
    </xf>
    <xf numFmtId="2" fontId="58" fillId="3" borderId="61" xfId="0" applyNumberFormat="1" applyFont="1" applyFill="1" applyBorder="1" applyAlignment="1">
      <alignment horizontal="center" vertical="center" wrapText="1"/>
    </xf>
    <xf numFmtId="0" fontId="65" fillId="3" borderId="62" xfId="0" applyFont="1" applyFill="1" applyBorder="1" applyAlignment="1">
      <alignment horizontal="right" vertical="center" wrapText="1" indent="1"/>
    </xf>
    <xf numFmtId="0" fontId="65" fillId="3" borderId="38" xfId="0" applyFont="1" applyFill="1" applyBorder="1" applyAlignment="1">
      <alignment horizontal="center" vertical="center" wrapText="1"/>
    </xf>
    <xf numFmtId="0" fontId="66" fillId="3" borderId="37" xfId="0" applyFont="1" applyFill="1" applyBorder="1" applyAlignment="1">
      <alignment horizontal="center" vertical="center" wrapText="1"/>
    </xf>
    <xf numFmtId="0" fontId="58" fillId="3" borderId="44" xfId="0" applyFont="1" applyFill="1" applyBorder="1" applyAlignment="1">
      <alignment horizontal="center" vertical="center" wrapText="1"/>
    </xf>
    <xf numFmtId="0" fontId="50" fillId="0" borderId="37" xfId="0" applyFont="1" applyBorder="1" applyAlignment="1">
      <alignment horizontal="right" vertical="center" wrapText="1" indent="1"/>
    </xf>
    <xf numFmtId="4" fontId="58" fillId="3" borderId="63" xfId="0" applyNumberFormat="1" applyFont="1" applyFill="1" applyBorder="1" applyAlignment="1">
      <alignment horizontal="center" vertical="center" wrapText="1"/>
    </xf>
    <xf numFmtId="0" fontId="66" fillId="3" borderId="44" xfId="0" applyFont="1" applyFill="1" applyBorder="1" applyAlignment="1">
      <alignment horizontal="center" vertical="center" wrapText="1"/>
    </xf>
    <xf numFmtId="0" fontId="50" fillId="11" borderId="37" xfId="0" applyFont="1" applyFill="1" applyBorder="1" applyAlignment="1">
      <alignment horizontal="right" vertical="center" wrapText="1" indent="1"/>
    </xf>
    <xf numFmtId="0" fontId="65" fillId="3" borderId="65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vertical="center"/>
    </xf>
    <xf numFmtId="0" fontId="54" fillId="0" borderId="0" xfId="0" applyFont="1"/>
    <xf numFmtId="0" fontId="13" fillId="0" borderId="0" xfId="0" applyFont="1"/>
    <xf numFmtId="166" fontId="58" fillId="3" borderId="44" xfId="0" applyNumberFormat="1" applyFont="1" applyFill="1" applyBorder="1" applyAlignment="1">
      <alignment horizontal="center" vertical="center" wrapText="1"/>
    </xf>
    <xf numFmtId="2" fontId="58" fillId="3" borderId="44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1" fillId="0" borderId="0" xfId="0" applyFont="1"/>
    <xf numFmtId="168" fontId="31" fillId="0" borderId="0" xfId="0" applyNumberFormat="1" applyFont="1" applyAlignment="1">
      <alignment horizontal="left" vertical="top"/>
    </xf>
    <xf numFmtId="167" fontId="52" fillId="0" borderId="0" xfId="0" applyNumberFormat="1" applyFont="1"/>
    <xf numFmtId="3" fontId="13" fillId="0" borderId="0" xfId="0" applyNumberFormat="1" applyFont="1"/>
    <xf numFmtId="167" fontId="41" fillId="0" borderId="0" xfId="0" applyNumberFormat="1" applyFont="1"/>
    <xf numFmtId="4" fontId="52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0" fillId="0" borderId="0" xfId="0" applyFont="1" applyAlignment="1">
      <alignment horizontal="right"/>
    </xf>
    <xf numFmtId="49" fontId="0" fillId="0" borderId="66" xfId="0" applyNumberFormat="1" applyBorder="1" applyAlignment="1" applyProtection="1">
      <alignment horizontal="left" vertical="center" wrapText="1"/>
      <protection locked="0"/>
    </xf>
    <xf numFmtId="164" fontId="0" fillId="0" borderId="6" xfId="0" applyNumberFormat="1" applyBorder="1" applyAlignment="1" applyProtection="1">
      <alignment horizontal="left" vertical="center" wrapText="1"/>
      <protection locked="0"/>
    </xf>
    <xf numFmtId="0" fontId="0" fillId="13" borderId="0" xfId="0" applyFill="1" applyAlignment="1">
      <alignment horizontal="right" vertical="center" indent="1"/>
    </xf>
    <xf numFmtId="0" fontId="5" fillId="13" borderId="0" xfId="0" applyFont="1" applyFill="1" applyAlignment="1" applyProtection="1">
      <alignment horizontal="center" vertical="center"/>
      <protection hidden="1"/>
    </xf>
    <xf numFmtId="0" fontId="1" fillId="14" borderId="0" xfId="0" applyFont="1" applyFill="1" applyAlignment="1">
      <alignment horizontal="center" vertical="center"/>
    </xf>
    <xf numFmtId="0" fontId="0" fillId="15" borderId="0" xfId="0" applyFill="1" applyAlignment="1">
      <alignment vertical="center"/>
    </xf>
    <xf numFmtId="0" fontId="0" fillId="15" borderId="18" xfId="0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left" vertical="center" indent="1"/>
    </xf>
    <xf numFmtId="0" fontId="0" fillId="15" borderId="2" xfId="0" applyFill="1" applyBorder="1" applyAlignment="1">
      <alignment vertical="center"/>
    </xf>
    <xf numFmtId="0" fontId="2" fillId="15" borderId="3" xfId="0" applyFont="1" applyFill="1" applyBorder="1" applyAlignment="1">
      <alignment horizontal="center" vertical="center"/>
    </xf>
    <xf numFmtId="0" fontId="29" fillId="15" borderId="0" xfId="0" applyFont="1" applyFill="1" applyAlignment="1" applyProtection="1">
      <alignment horizontal="center" vertical="center" wrapText="1"/>
      <protection hidden="1"/>
    </xf>
    <xf numFmtId="0" fontId="20" fillId="15" borderId="0" xfId="0" applyFont="1" applyFill="1" applyAlignment="1" applyProtection="1">
      <alignment vertical="center" wrapText="1"/>
      <protection hidden="1"/>
    </xf>
    <xf numFmtId="0" fontId="19" fillId="15" borderId="1" xfId="0" applyFont="1" applyFill="1" applyBorder="1" applyAlignment="1">
      <alignment horizontal="center" vertical="center"/>
    </xf>
    <xf numFmtId="0" fontId="21" fillId="15" borderId="2" xfId="0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left" vertical="center"/>
    </xf>
    <xf numFmtId="0" fontId="42" fillId="16" borderId="0" xfId="0" applyFont="1" applyFill="1" applyAlignment="1">
      <alignment vertical="center"/>
    </xf>
    <xf numFmtId="0" fontId="29" fillId="17" borderId="0" xfId="0" applyFont="1" applyFill="1" applyAlignment="1" applyProtection="1">
      <alignment horizontal="center" vertical="center" wrapText="1"/>
      <protection hidden="1"/>
    </xf>
    <xf numFmtId="0" fontId="20" fillId="18" borderId="0" xfId="0" applyFont="1" applyFill="1" applyAlignment="1" applyProtection="1">
      <alignment horizontal="center" vertical="center"/>
      <protection hidden="1"/>
    </xf>
    <xf numFmtId="0" fontId="3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5" fillId="13" borderId="0" xfId="0" applyFont="1" applyFill="1" applyAlignment="1">
      <alignment horizontal="center" vertical="center"/>
    </xf>
    <xf numFmtId="0" fontId="29" fillId="13" borderId="0" xfId="0" applyFont="1" applyFill="1" applyAlignment="1" applyProtection="1">
      <alignment horizontal="center" vertical="center" wrapText="1"/>
      <protection hidden="1"/>
    </xf>
    <xf numFmtId="0" fontId="20" fillId="13" borderId="0" xfId="0" applyFont="1" applyFill="1" applyAlignment="1" applyProtection="1">
      <alignment horizontal="center" vertical="center"/>
      <protection hidden="1"/>
    </xf>
    <xf numFmtId="0" fontId="0" fillId="13" borderId="18" xfId="0" applyFill="1" applyBorder="1" applyAlignment="1">
      <alignment vertical="center"/>
    </xf>
    <xf numFmtId="0" fontId="27" fillId="13" borderId="0" xfId="0" applyFont="1" applyFill="1" applyAlignment="1">
      <alignment vertical="center"/>
    </xf>
    <xf numFmtId="0" fontId="0" fillId="13" borderId="0" xfId="0" applyFill="1"/>
    <xf numFmtId="0" fontId="2" fillId="13" borderId="0" xfId="0" applyFont="1" applyFill="1" applyAlignment="1">
      <alignment vertical="center"/>
    </xf>
    <xf numFmtId="0" fontId="2" fillId="13" borderId="20" xfId="0" applyFont="1" applyFill="1" applyBorder="1" applyAlignment="1">
      <alignment vertical="center"/>
    </xf>
    <xf numFmtId="0" fontId="2" fillId="13" borderId="0" xfId="0" applyFont="1" applyFill="1" applyAlignment="1">
      <alignment horizontal="right" vertical="center" indent="1"/>
    </xf>
    <xf numFmtId="0" fontId="31" fillId="13" borderId="0" xfId="0" applyFont="1" applyFill="1" applyAlignment="1" applyProtection="1">
      <alignment vertical="center" wrapText="1"/>
      <protection hidden="1"/>
    </xf>
    <xf numFmtId="0" fontId="10" fillId="13" borderId="0" xfId="0" applyFont="1" applyFill="1" applyAlignment="1" applyProtection="1">
      <alignment vertical="center" wrapText="1"/>
      <protection hidden="1"/>
    </xf>
    <xf numFmtId="0" fontId="2" fillId="13" borderId="0" xfId="0" applyFont="1" applyFill="1" applyAlignment="1" applyProtection="1">
      <alignment vertical="center" wrapText="1"/>
      <protection hidden="1"/>
    </xf>
    <xf numFmtId="0" fontId="37" fillId="13" borderId="0" xfId="0" applyFont="1" applyFill="1" applyAlignment="1">
      <alignment horizontal="right" vertical="center" indent="1"/>
    </xf>
    <xf numFmtId="0" fontId="13" fillId="13" borderId="0" xfId="0" applyFont="1" applyFill="1" applyAlignment="1">
      <alignment horizontal="right" vertical="center" indent="1"/>
    </xf>
    <xf numFmtId="0" fontId="38" fillId="13" borderId="20" xfId="0" applyFont="1" applyFill="1" applyBorder="1" applyAlignment="1">
      <alignment horizontal="right" vertical="top"/>
    </xf>
    <xf numFmtId="0" fontId="0" fillId="13" borderId="20" xfId="0" applyFill="1" applyBorder="1" applyAlignment="1">
      <alignment vertical="center"/>
    </xf>
    <xf numFmtId="165" fontId="5" fillId="13" borderId="0" xfId="0" applyNumberFormat="1" applyFont="1" applyFill="1" applyAlignment="1" applyProtection="1">
      <alignment horizontal="center" vertical="center"/>
      <protection hidden="1"/>
    </xf>
    <xf numFmtId="0" fontId="2" fillId="13" borderId="9" xfId="0" applyFont="1" applyFill="1" applyBorder="1" applyAlignment="1">
      <alignment vertical="center"/>
    </xf>
    <xf numFmtId="0" fontId="2" fillId="13" borderId="8" xfId="0" applyFont="1" applyFill="1" applyBorder="1" applyAlignment="1">
      <alignment horizontal="right" vertical="center" indent="1"/>
    </xf>
    <xf numFmtId="0" fontId="0" fillId="13" borderId="8" xfId="0" applyFill="1" applyBorder="1" applyAlignment="1">
      <alignment horizontal="right" vertical="center" indent="1"/>
    </xf>
    <xf numFmtId="0" fontId="1" fillId="13" borderId="28" xfId="0" applyFont="1" applyFill="1" applyBorder="1" applyAlignment="1">
      <alignment vertical="center" wrapText="1"/>
    </xf>
    <xf numFmtId="0" fontId="41" fillId="13" borderId="8" xfId="0" applyFont="1" applyFill="1" applyBorder="1" applyAlignment="1" applyProtection="1">
      <alignment horizontal="center" vertical="center"/>
      <protection hidden="1"/>
    </xf>
    <xf numFmtId="0" fontId="0" fillId="13" borderId="15" xfId="0" applyFill="1" applyBorder="1" applyAlignment="1">
      <alignment vertical="center"/>
    </xf>
    <xf numFmtId="0" fontId="0" fillId="13" borderId="19" xfId="0" applyFill="1" applyBorder="1" applyAlignment="1">
      <alignment vertical="center"/>
    </xf>
    <xf numFmtId="0" fontId="2" fillId="13" borderId="27" xfId="0" applyFont="1" applyFill="1" applyBorder="1" applyAlignment="1">
      <alignment horizontal="right" vertical="center" indent="1"/>
    </xf>
    <xf numFmtId="0" fontId="0" fillId="13" borderId="27" xfId="0" applyFill="1" applyBorder="1" applyAlignment="1">
      <alignment horizontal="right" vertical="center" indent="1"/>
    </xf>
    <xf numFmtId="0" fontId="9" fillId="13" borderId="21" xfId="0" applyFont="1" applyFill="1" applyBorder="1" applyAlignment="1">
      <alignment vertical="center"/>
    </xf>
    <xf numFmtId="0" fontId="9" fillId="13" borderId="16" xfId="0" applyFont="1" applyFill="1" applyBorder="1" applyAlignment="1">
      <alignment vertical="center"/>
    </xf>
    <xf numFmtId="0" fontId="0" fillId="13" borderId="16" xfId="0" applyFill="1" applyBorder="1" applyAlignment="1">
      <alignment vertical="center"/>
    </xf>
    <xf numFmtId="0" fontId="10" fillId="13" borderId="16" xfId="0" applyFont="1" applyFill="1" applyBorder="1" applyAlignment="1" applyProtection="1">
      <alignment vertical="center"/>
      <protection hidden="1"/>
    </xf>
    <xf numFmtId="0" fontId="29" fillId="13" borderId="16" xfId="0" applyFont="1" applyFill="1" applyBorder="1" applyProtection="1">
      <protection hidden="1"/>
    </xf>
    <xf numFmtId="0" fontId="23" fillId="13" borderId="16" xfId="0" applyFont="1" applyFill="1" applyBorder="1" applyProtection="1">
      <protection hidden="1"/>
    </xf>
    <xf numFmtId="0" fontId="34" fillId="13" borderId="17" xfId="0" applyFont="1" applyFill="1" applyBorder="1" applyAlignment="1">
      <alignment horizontal="right" vertical="center"/>
    </xf>
    <xf numFmtId="0" fontId="18" fillId="13" borderId="23" xfId="0" applyFont="1" applyFill="1" applyBorder="1" applyAlignment="1" applyProtection="1">
      <alignment vertical="center"/>
      <protection hidden="1"/>
    </xf>
    <xf numFmtId="0" fontId="0" fillId="13" borderId="0" xfId="0" applyFill="1" applyAlignment="1" applyProtection="1">
      <alignment vertical="center"/>
      <protection hidden="1"/>
    </xf>
    <xf numFmtId="0" fontId="29" fillId="13" borderId="0" xfId="0" applyFont="1" applyFill="1" applyAlignment="1" applyProtection="1">
      <alignment vertical="top"/>
      <protection hidden="1"/>
    </xf>
    <xf numFmtId="0" fontId="23" fillId="13" borderId="0" xfId="0" applyFont="1" applyFill="1" applyAlignment="1" applyProtection="1">
      <alignment vertical="top"/>
      <protection hidden="1"/>
    </xf>
    <xf numFmtId="0" fontId="18" fillId="13" borderId="22" xfId="0" applyFont="1" applyFill="1" applyBorder="1" applyAlignment="1" applyProtection="1">
      <alignment vertical="center"/>
      <protection hidden="1"/>
    </xf>
    <xf numFmtId="0" fontId="0" fillId="13" borderId="15" xfId="0" applyFill="1" applyBorder="1" applyAlignment="1" applyProtection="1">
      <alignment vertical="center"/>
      <protection hidden="1"/>
    </xf>
    <xf numFmtId="0" fontId="24" fillId="13" borderId="15" xfId="0" applyFont="1" applyFill="1" applyBorder="1" applyAlignment="1" applyProtection="1">
      <alignment horizontal="right" vertical="center"/>
      <protection hidden="1"/>
    </xf>
    <xf numFmtId="0" fontId="25" fillId="13" borderId="15" xfId="0" applyFont="1" applyFill="1" applyBorder="1" applyAlignment="1" applyProtection="1">
      <alignment vertical="center"/>
      <protection hidden="1"/>
    </xf>
    <xf numFmtId="0" fontId="13" fillId="13" borderId="19" xfId="0" applyFont="1" applyFill="1" applyBorder="1" applyAlignment="1" applyProtection="1">
      <alignment horizontal="right" vertical="center"/>
      <protection hidden="1"/>
    </xf>
    <xf numFmtId="0" fontId="40" fillId="13" borderId="27" xfId="0" applyFont="1" applyFill="1" applyBorder="1" applyAlignment="1" applyProtection="1">
      <alignment horizontal="center" vertical="center" wrapText="1"/>
      <protection hidden="1"/>
    </xf>
    <xf numFmtId="0" fontId="31" fillId="6" borderId="0" xfId="0" applyFont="1" applyFill="1" applyAlignment="1" applyProtection="1">
      <alignment horizontal="center" vertical="center" wrapText="1"/>
      <protection hidden="1"/>
    </xf>
    <xf numFmtId="0" fontId="19" fillId="13" borderId="13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center" indent="1"/>
    </xf>
    <xf numFmtId="0" fontId="21" fillId="13" borderId="8" xfId="0" applyFont="1" applyFill="1" applyBorder="1" applyAlignment="1">
      <alignment horizontal="left" vertical="center" wrapText="1"/>
    </xf>
    <xf numFmtId="49" fontId="18" fillId="13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3" borderId="8" xfId="0" applyFill="1" applyBorder="1" applyAlignment="1">
      <alignment horizontal="left" vertical="center" wrapText="1"/>
    </xf>
    <xf numFmtId="0" fontId="4" fillId="13" borderId="8" xfId="0" applyFont="1" applyFill="1" applyBorder="1" applyAlignment="1" applyProtection="1">
      <alignment horizontal="left" vertical="center"/>
      <protection hidden="1"/>
    </xf>
    <xf numFmtId="0" fontId="0" fillId="13" borderId="8" xfId="0" applyFill="1" applyBorder="1" applyAlignment="1" applyProtection="1">
      <alignment horizontal="left" vertical="center" wrapText="1"/>
      <protection hidden="1"/>
    </xf>
    <xf numFmtId="0" fontId="2" fillId="13" borderId="14" xfId="0" applyFont="1" applyFill="1" applyBorder="1" applyAlignment="1">
      <alignment horizontal="center" vertical="center"/>
    </xf>
    <xf numFmtId="0" fontId="0" fillId="13" borderId="9" xfId="0" applyFill="1" applyBorder="1" applyAlignment="1">
      <alignment vertical="center"/>
    </xf>
    <xf numFmtId="0" fontId="0" fillId="13" borderId="10" xfId="0" applyFill="1" applyBorder="1" applyAlignment="1">
      <alignment vertical="center"/>
    </xf>
    <xf numFmtId="0" fontId="2" fillId="13" borderId="9" xfId="0" applyFont="1" applyFill="1" applyBorder="1" applyAlignment="1">
      <alignment horizontal="right" vertical="center" indent="1"/>
    </xf>
    <xf numFmtId="0" fontId="0" fillId="13" borderId="11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0" fontId="5" fillId="13" borderId="4" xfId="0" applyFont="1" applyFill="1" applyBorder="1" applyAlignment="1" applyProtection="1">
      <alignment horizontal="center" vertical="center"/>
      <protection hidden="1"/>
    </xf>
    <xf numFmtId="0" fontId="0" fillId="13" borderId="4" xfId="0" applyFill="1" applyBorder="1" applyAlignment="1" applyProtection="1">
      <alignment vertical="center"/>
      <protection hidden="1"/>
    </xf>
    <xf numFmtId="0" fontId="0" fillId="13" borderId="12" xfId="0" applyFill="1" applyBorder="1" applyAlignment="1">
      <alignment vertical="center"/>
    </xf>
    <xf numFmtId="49" fontId="71" fillId="15" borderId="3" xfId="0" applyNumberFormat="1" applyFont="1" applyFill="1" applyBorder="1" applyAlignment="1" applyProtection="1">
      <alignment horizontal="center" vertical="center" wrapText="1"/>
      <protection hidden="1"/>
    </xf>
    <xf numFmtId="49" fontId="72" fillId="15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19" borderId="0" xfId="0" applyFill="1" applyAlignment="1">
      <alignment vertical="center"/>
    </xf>
    <xf numFmtId="0" fontId="13" fillId="10" borderId="67" xfId="0" applyFont="1" applyFill="1" applyBorder="1" applyAlignment="1">
      <alignment horizontal="right" vertical="center" indent="1"/>
    </xf>
    <xf numFmtId="0" fontId="5" fillId="13" borderId="67" xfId="0" applyFont="1" applyFill="1" applyBorder="1" applyAlignment="1" applyProtection="1">
      <alignment horizontal="center" vertical="center"/>
      <protection hidden="1"/>
    </xf>
    <xf numFmtId="0" fontId="2" fillId="13" borderId="67" xfId="0" applyFont="1" applyFill="1" applyBorder="1" applyAlignment="1">
      <alignment vertical="center"/>
    </xf>
    <xf numFmtId="0" fontId="32" fillId="5" borderId="0" xfId="0" applyFont="1" applyFill="1" applyAlignment="1" applyProtection="1">
      <alignment horizontal="center" vertical="center" wrapText="1"/>
      <protection hidden="1"/>
    </xf>
    <xf numFmtId="0" fontId="31" fillId="13" borderId="0" xfId="0" applyFont="1" applyFill="1" applyAlignment="1" applyProtection="1">
      <alignment horizontal="center" vertical="center" wrapText="1"/>
      <protection hidden="1"/>
    </xf>
    <xf numFmtId="0" fontId="33" fillId="13" borderId="0" xfId="0" applyFont="1" applyFill="1" applyAlignment="1" applyProtection="1">
      <alignment horizontal="center" vertical="center" wrapText="1"/>
      <protection hidden="1"/>
    </xf>
    <xf numFmtId="0" fontId="36" fillId="7" borderId="0" xfId="0" applyFont="1" applyFill="1" applyAlignment="1" applyProtection="1">
      <alignment horizontal="center" vertical="center" wrapText="1"/>
      <protection hidden="1"/>
    </xf>
    <xf numFmtId="0" fontId="31" fillId="13" borderId="67" xfId="0" applyFont="1" applyFill="1" applyBorder="1" applyAlignment="1" applyProtection="1">
      <alignment horizontal="center" vertical="center" wrapText="1"/>
      <protection hidden="1"/>
    </xf>
    <xf numFmtId="0" fontId="38" fillId="13" borderId="67" xfId="0" applyFont="1" applyFill="1" applyBorder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 wrapText="1"/>
      <protection hidden="1"/>
    </xf>
    <xf numFmtId="0" fontId="20" fillId="15" borderId="0" xfId="0" applyFont="1" applyFill="1" applyAlignment="1" applyProtection="1">
      <alignment horizontal="center" vertical="center" wrapText="1"/>
      <protection hidden="1"/>
    </xf>
    <xf numFmtId="0" fontId="2" fillId="13" borderId="0" xfId="0" applyFont="1" applyFill="1" applyAlignment="1" applyProtection="1">
      <alignment horizontal="center" vertical="center" wrapText="1"/>
      <protection hidden="1"/>
    </xf>
    <xf numFmtId="0" fontId="31" fillId="13" borderId="15" xfId="0" applyFont="1" applyFill="1" applyBorder="1" applyAlignment="1" applyProtection="1">
      <alignment horizontal="center" vertical="center" wrapText="1"/>
      <protection hidden="1"/>
    </xf>
    <xf numFmtId="0" fontId="2" fillId="13" borderId="15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65" fillId="3" borderId="64" xfId="0" applyFont="1" applyFill="1" applyBorder="1" applyAlignment="1">
      <alignment horizontal="right" vertical="center" wrapText="1" indent="1"/>
    </xf>
    <xf numFmtId="0" fontId="66" fillId="3" borderId="68" xfId="0" applyFont="1" applyFill="1" applyBorder="1" applyAlignment="1">
      <alignment horizontal="center" vertical="center" wrapText="1"/>
    </xf>
    <xf numFmtId="2" fontId="58" fillId="3" borderId="69" xfId="0" applyNumberFormat="1" applyFont="1" applyFill="1" applyBorder="1" applyAlignment="1">
      <alignment horizontal="center" vertical="center" wrapText="1"/>
    </xf>
    <xf numFmtId="0" fontId="50" fillId="0" borderId="68" xfId="0" applyFont="1" applyBorder="1" applyAlignment="1">
      <alignment horizontal="right" vertical="center" wrapText="1" indent="1"/>
    </xf>
    <xf numFmtId="4" fontId="58" fillId="3" borderId="70" xfId="0" applyNumberFormat="1" applyFont="1" applyFill="1" applyBorder="1" applyAlignment="1">
      <alignment horizontal="center" vertical="center" wrapText="1"/>
    </xf>
    <xf numFmtId="0" fontId="66" fillId="3" borderId="69" xfId="0" applyFont="1" applyFill="1" applyBorder="1" applyAlignment="1">
      <alignment horizontal="center" vertical="center" wrapText="1"/>
    </xf>
    <xf numFmtId="0" fontId="50" fillId="11" borderId="68" xfId="0" applyFont="1" applyFill="1" applyBorder="1" applyAlignment="1">
      <alignment horizontal="right" vertical="center" wrapText="1" indent="1"/>
    </xf>
    <xf numFmtId="0" fontId="58" fillId="3" borderId="69" xfId="0" applyFont="1" applyFill="1" applyBorder="1" applyAlignment="1">
      <alignment horizontal="center" vertical="center" wrapText="1"/>
    </xf>
    <xf numFmtId="0" fontId="44" fillId="0" borderId="0" xfId="0" applyFont="1" applyProtection="1">
      <protection locked="0"/>
    </xf>
    <xf numFmtId="0" fontId="77" fillId="6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locked="0"/>
    </xf>
    <xf numFmtId="0" fontId="5" fillId="20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>
      <alignment horizontal="right" vertical="center" indent="1"/>
    </xf>
    <xf numFmtId="0" fontId="0" fillId="0" borderId="0" xfId="0" applyAlignment="1" applyProtection="1">
      <alignment horizontal="left" vertical="top" wrapText="1" indent="1"/>
      <protection locked="0"/>
    </xf>
    <xf numFmtId="0" fontId="52" fillId="13" borderId="0" xfId="0" applyFont="1" applyFill="1" applyAlignment="1" applyProtection="1">
      <alignment horizontal="left" vertical="top" wrapText="1"/>
      <protection hidden="1"/>
    </xf>
    <xf numFmtId="0" fontId="52" fillId="3" borderId="0" xfId="0" applyFont="1" applyFill="1" applyAlignment="1">
      <alignment horizontal="left" vertical="top" wrapText="1"/>
    </xf>
    <xf numFmtId="0" fontId="55" fillId="3" borderId="32" xfId="0" applyFont="1" applyFill="1" applyBorder="1" applyAlignment="1">
      <alignment horizontal="center" vertical="center" wrapText="1"/>
    </xf>
    <xf numFmtId="0" fontId="55" fillId="3" borderId="37" xfId="0" applyFont="1" applyFill="1" applyBorder="1" applyAlignment="1">
      <alignment horizontal="center" vertical="center" wrapText="1"/>
    </xf>
    <xf numFmtId="0" fontId="55" fillId="3" borderId="54" xfId="0" applyFont="1" applyFill="1" applyBorder="1" applyAlignment="1">
      <alignment horizontal="center" vertical="center" wrapText="1"/>
    </xf>
    <xf numFmtId="0" fontId="55" fillId="3" borderId="33" xfId="0" applyFont="1" applyFill="1" applyBorder="1" applyAlignment="1">
      <alignment horizontal="center" vertical="center" wrapText="1"/>
    </xf>
    <xf numFmtId="0" fontId="55" fillId="3" borderId="38" xfId="0" applyFont="1" applyFill="1" applyBorder="1" applyAlignment="1">
      <alignment horizontal="center" vertical="center" wrapText="1"/>
    </xf>
    <xf numFmtId="0" fontId="55" fillId="3" borderId="55" xfId="0" applyFont="1" applyFill="1" applyBorder="1" applyAlignment="1">
      <alignment horizontal="center" vertical="center" wrapText="1"/>
    </xf>
    <xf numFmtId="0" fontId="56" fillId="3" borderId="13" xfId="0" applyFont="1" applyFill="1" applyBorder="1" applyAlignment="1">
      <alignment horizontal="center" wrapText="1"/>
    </xf>
    <xf numFmtId="0" fontId="56" fillId="3" borderId="14" xfId="0" applyFont="1" applyFill="1" applyBorder="1" applyAlignment="1">
      <alignment horizontal="center" wrapText="1"/>
    </xf>
    <xf numFmtId="0" fontId="65" fillId="3" borderId="34" xfId="0" applyFont="1" applyFill="1" applyBorder="1" applyAlignment="1">
      <alignment horizontal="center" vertical="center" wrapText="1"/>
    </xf>
    <xf numFmtId="0" fontId="65" fillId="3" borderId="35" xfId="0" applyFont="1" applyFill="1" applyBorder="1" applyAlignment="1">
      <alignment horizontal="center" vertical="center" wrapText="1"/>
    </xf>
    <xf numFmtId="0" fontId="65" fillId="3" borderId="36" xfId="0" applyFont="1" applyFill="1" applyBorder="1" applyAlignment="1">
      <alignment horizontal="center" vertical="center" wrapText="1"/>
    </xf>
    <xf numFmtId="0" fontId="59" fillId="3" borderId="39" xfId="0" applyFont="1" applyFill="1" applyBorder="1" applyAlignment="1">
      <alignment horizontal="center" vertical="center" wrapText="1"/>
    </xf>
    <xf numFmtId="0" fontId="59" fillId="3" borderId="40" xfId="0" applyFont="1" applyFill="1" applyBorder="1" applyAlignment="1">
      <alignment horizontal="center" vertical="center" wrapText="1"/>
    </xf>
    <xf numFmtId="0" fontId="49" fillId="3" borderId="37" xfId="0" applyFont="1" applyFill="1" applyBorder="1" applyAlignment="1">
      <alignment horizontal="center" vertical="center" wrapText="1"/>
    </xf>
    <xf numFmtId="0" fontId="49" fillId="3" borderId="54" xfId="0" applyFont="1" applyFill="1" applyBorder="1" applyAlignment="1">
      <alignment horizontal="center" vertical="center" wrapText="1"/>
    </xf>
    <xf numFmtId="0" fontId="49" fillId="3" borderId="44" xfId="0" applyFont="1" applyFill="1" applyBorder="1" applyAlignment="1">
      <alignment horizontal="center" vertical="center" wrapText="1"/>
    </xf>
    <xf numFmtId="0" fontId="49" fillId="3" borderId="5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</cellXfs>
  <cellStyles count="1">
    <cellStyle name="Normální" xfId="0" builtinId="0"/>
  </cellStyles>
  <dxfs count="16">
    <dxf>
      <font>
        <b/>
        <i val="0"/>
        <strike val="0"/>
        <color rgb="FF339933"/>
      </font>
    </dxf>
    <dxf>
      <font>
        <strike val="0"/>
      </font>
      <fill>
        <gradientFill type="path" left="0.5" right="0.5" top="0.5" bottom="0.5">
          <stop position="0">
            <color theme="9" tint="0.80001220740379042"/>
          </stop>
          <stop position="1">
            <color theme="0" tint="-0.1490218817712943"/>
          </stop>
        </gradient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FFFFCC"/>
      <color rgb="FFFF6600"/>
      <color rgb="FF0000CC"/>
      <color rgb="FFFEE8E6"/>
      <color rgb="FF0033CC"/>
      <color rgb="FFFFFFFF"/>
      <color rgb="FF339933"/>
      <color rgb="FF990033"/>
      <color rgb="FF0080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1571121</xdr:colOff>
      <xdr:row>2</xdr:row>
      <xdr:rowOff>77703</xdr:rowOff>
    </xdr:from>
    <xdr:to>
      <xdr:col>3</xdr:col>
      <xdr:colOff>1731021</xdr:colOff>
      <xdr:row>2</xdr:row>
      <xdr:rowOff>239608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A240D-3C93-4876-85FB-5DFCB40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6746" y="420603"/>
          <a:ext cx="159900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K68"/>
  <sheetViews>
    <sheetView showGridLines="0" tabSelected="1" zoomScaleNormal="100" workbookViewId="0">
      <pane ySplit="1" topLeftCell="A3" activePane="bottomLeft" state="frozen"/>
      <selection activeCell="C70" sqref="C69:C70"/>
      <selection pane="bottomLeft" activeCell="D5" sqref="D5"/>
    </sheetView>
  </sheetViews>
  <sheetFormatPr defaultColWidth="9.140625" defaultRowHeight="15" x14ac:dyDescent="0.25"/>
  <cols>
    <col min="1" max="1" width="0.42578125" style="1" customWidth="1"/>
    <col min="2" max="2" width="4.42578125" style="1" customWidth="1"/>
    <col min="3" max="3" width="41.42578125" style="1" customWidth="1"/>
    <col min="4" max="4" width="60.7109375" style="1" customWidth="1"/>
    <col min="5" max="5" width="9" style="3" bestFit="1" customWidth="1"/>
    <col min="6" max="6" width="1" style="1" customWidth="1"/>
    <col min="7" max="7" width="21" style="1" customWidth="1"/>
    <col min="8" max="8" width="69.42578125" style="1" customWidth="1"/>
    <col min="9" max="10" width="1.140625" style="1" customWidth="1"/>
    <col min="11" max="11" width="16.42578125" style="1" customWidth="1"/>
    <col min="12" max="16384" width="9.140625" style="1"/>
  </cols>
  <sheetData>
    <row r="1" spans="2:11" ht="27" customHeight="1" x14ac:dyDescent="0.25">
      <c r="B1" s="135" t="s">
        <v>355</v>
      </c>
      <c r="C1" s="202"/>
      <c r="D1" s="202"/>
      <c r="E1" s="123"/>
      <c r="F1" s="124"/>
      <c r="G1" s="136" t="s">
        <v>135</v>
      </c>
      <c r="H1" s="137" t="s">
        <v>136</v>
      </c>
      <c r="I1" s="125"/>
      <c r="K1" s="230"/>
    </row>
    <row r="2" spans="2:11" ht="21" hidden="1" x14ac:dyDescent="0.25">
      <c r="B2" s="138"/>
      <c r="C2" s="139"/>
      <c r="D2" s="139"/>
      <c r="E2" s="140"/>
      <c r="F2" s="139"/>
      <c r="G2" s="141"/>
      <c r="H2" s="142"/>
      <c r="I2" s="143"/>
      <c r="K2" s="230"/>
    </row>
    <row r="3" spans="2:11" ht="23.25" customHeight="1" thickBot="1" x14ac:dyDescent="0.3">
      <c r="B3" s="144" t="s">
        <v>242</v>
      </c>
      <c r="C3" s="145"/>
      <c r="D3" s="145"/>
      <c r="E3" s="144" t="s">
        <v>138</v>
      </c>
      <c r="F3" s="145"/>
      <c r="G3" s="146" t="s">
        <v>137</v>
      </c>
      <c r="H3" s="139"/>
      <c r="I3" s="143"/>
      <c r="K3" s="230"/>
    </row>
    <row r="4" spans="2:11" ht="18.75" customHeight="1" thickBot="1" x14ac:dyDescent="0.3">
      <c r="B4" s="126" t="s">
        <v>28</v>
      </c>
      <c r="C4" s="127" t="s">
        <v>100</v>
      </c>
      <c r="D4" s="128"/>
      <c r="E4" s="129" t="s">
        <v>101</v>
      </c>
      <c r="F4" s="146"/>
      <c r="G4" s="130"/>
      <c r="H4" s="131"/>
      <c r="I4" s="147"/>
      <c r="J4" s="2"/>
      <c r="K4" s="230"/>
    </row>
    <row r="5" spans="2:11" ht="15.75" customHeight="1" thickBot="1" x14ac:dyDescent="0.3">
      <c r="B5" s="148">
        <v>5</v>
      </c>
      <c r="C5" s="232" t="s">
        <v>357</v>
      </c>
      <c r="D5" s="61"/>
      <c r="E5" s="122" t="str">
        <f>IF($D$5=Data!A2,Data!B2,IF($D$5=Data!A3,Data!B3,IF($D$5=Data!A4,Data!B4,IF($D$5=Data!A5,Data!B5,IF($D$5=Data!A6,Data!B6,"")))))</f>
        <v/>
      </c>
      <c r="F5" s="146"/>
      <c r="G5" s="149"/>
      <c r="H5" s="150"/>
      <c r="I5" s="147"/>
      <c r="J5" s="2"/>
      <c r="K5" s="230"/>
    </row>
    <row r="6" spans="2:11" ht="15.75" customHeight="1" thickBot="1" x14ac:dyDescent="0.3">
      <c r="B6" s="148">
        <v>6</v>
      </c>
      <c r="C6" s="121" t="s">
        <v>102</v>
      </c>
      <c r="D6" s="62"/>
      <c r="E6" s="122" t="str">
        <f>IF(D$6=Data!A8,Data!B8,IF(D$6=Data!A9,Data!B9,""))</f>
        <v/>
      </c>
      <c r="F6" s="146"/>
      <c r="G6" s="149"/>
      <c r="H6" s="151"/>
      <c r="I6" s="147"/>
      <c r="J6" s="2"/>
      <c r="K6" s="230"/>
    </row>
    <row r="7" spans="2:11" ht="16.5" thickBot="1" x14ac:dyDescent="0.3">
      <c r="B7" s="132" t="s">
        <v>38</v>
      </c>
      <c r="C7" s="127" t="s">
        <v>103</v>
      </c>
      <c r="D7" s="133" t="s">
        <v>38</v>
      </c>
      <c r="E7" s="200" t="s">
        <v>0</v>
      </c>
      <c r="F7" s="146"/>
      <c r="G7" s="130"/>
      <c r="H7" s="131"/>
      <c r="I7" s="147"/>
      <c r="J7" s="2"/>
      <c r="K7" s="230"/>
    </row>
    <row r="8" spans="2:11" ht="15.75" customHeight="1" thickBot="1" x14ac:dyDescent="0.3">
      <c r="B8" s="148">
        <v>8</v>
      </c>
      <c r="C8" s="121" t="s">
        <v>104</v>
      </c>
      <c r="D8" s="61"/>
      <c r="E8" s="122" t="str">
        <f>IF(D8="","",VLOOKUP(D8,OC_DCkod,2,FALSE))</f>
        <v/>
      </c>
      <c r="F8" s="146"/>
      <c r="G8" s="207"/>
      <c r="H8" s="206" t="str">
        <f>IF(E5=3,IF(D8="","",IF(OR(E8="03",E8="11",E8="12"),"NO - the selected sensor connection has dimensions from ½ to 2½ inches (DN15 to DN65)","")),"")</f>
        <v/>
      </c>
      <c r="I8" s="147"/>
      <c r="J8" s="2"/>
      <c r="K8" s="230"/>
    </row>
    <row r="9" spans="2:11" ht="15.75" customHeight="1" thickBot="1" x14ac:dyDescent="0.3">
      <c r="B9" s="148">
        <v>9</v>
      </c>
      <c r="C9" s="121" t="s">
        <v>361</v>
      </c>
      <c r="D9" s="63"/>
      <c r="E9" s="122" t="str">
        <f>IF(D9="","",VLOOKUP(D9,OC_MCkod,2,FALSE))</f>
        <v/>
      </c>
      <c r="F9" s="146"/>
      <c r="G9" s="207"/>
      <c r="H9" s="208"/>
      <c r="I9" s="147"/>
      <c r="J9" s="2"/>
      <c r="K9" s="230"/>
    </row>
    <row r="10" spans="2:11" ht="15.75" thickBot="1" x14ac:dyDescent="0.3">
      <c r="B10" s="148">
        <v>10</v>
      </c>
      <c r="C10" s="121" t="s">
        <v>106</v>
      </c>
      <c r="D10" s="63"/>
      <c r="E10" s="122" t="str">
        <f>IF(D10="","",VLOOKUP(D10,OC_VCkod,2,FALSE))</f>
        <v/>
      </c>
      <c r="F10" s="146"/>
      <c r="G10" s="183" t="str">
        <f>IF(D10="",IF(E8="01","PVDF",IF(E8="02","PVDF",IF(E8="03","PVDF",""))),"")</f>
        <v/>
      </c>
      <c r="H10" s="206" t="str">
        <f>IF(D10="","",IF(E8="xx","",IF(E10=4,IF(E8&lt;="03","NO - this lining cannot be used for dimension DN10 (3/8 inch)!",""),"")))</f>
        <v/>
      </c>
      <c r="I10" s="147"/>
      <c r="J10" s="2"/>
      <c r="K10" s="230"/>
    </row>
    <row r="11" spans="2:11" ht="15.75" customHeight="1" thickBot="1" x14ac:dyDescent="0.3">
      <c r="B11" s="148">
        <v>11</v>
      </c>
      <c r="C11" s="121" t="s">
        <v>107</v>
      </c>
      <c r="D11" s="63"/>
      <c r="E11" s="122" t="str">
        <f>IF(D$11=Data!A29,Data!B29,IF(D$11=Data!A30,Data!B30,""))</f>
        <v/>
      </c>
      <c r="F11" s="146"/>
      <c r="G11" s="183" t="str">
        <f>IF(D11="",IF(E6=0,"Standard IP 67",IF(E6=4,"Standard IP 67","")),"")</f>
        <v/>
      </c>
      <c r="H11" s="206" t="str">
        <f>IF(E11=2,IF(E6=1,"",IF(E6=5,"","ERROR - IP 68 is not possible to use for compakt version!")),"")</f>
        <v/>
      </c>
      <c r="I11" s="147"/>
      <c r="J11" s="2"/>
      <c r="K11" s="230"/>
    </row>
    <row r="12" spans="2:11" ht="15.75" customHeight="1" thickBot="1" x14ac:dyDescent="0.3">
      <c r="B12" s="148">
        <v>12</v>
      </c>
      <c r="C12" s="121" t="s">
        <v>105</v>
      </c>
      <c r="D12" s="63"/>
      <c r="E12" s="122" t="str">
        <f>IF(D$12=Data!A32,Data!B32,IF(D$12=Data!A33,Data!B33,IF(D$12=Data!A34,Data!B34,IF(D$12=Data!A35,Data!B35,IF(D$12=Data!A36,Data!B36,IF(D$12=Data!A37,Data!B37,""))))))</f>
        <v/>
      </c>
      <c r="F12" s="146"/>
      <c r="G12" s="207"/>
      <c r="H12" s="208"/>
      <c r="I12" s="147"/>
      <c r="J12" s="2"/>
      <c r="K12" s="230"/>
    </row>
    <row r="13" spans="2:11" ht="15.75" customHeight="1" thickBot="1" x14ac:dyDescent="0.3">
      <c r="B13" s="148">
        <v>13</v>
      </c>
      <c r="C13" s="121" t="s">
        <v>108</v>
      </c>
      <c r="D13" s="64"/>
      <c r="E13" s="122" t="str">
        <f>IF(D$13=Data!A39,Data!B39,IF(D$13=Data!A40,Data!B40,""))</f>
        <v/>
      </c>
      <c r="F13" s="146"/>
      <c r="G13" s="207"/>
      <c r="H13" s="206" t="str">
        <f>IF(D13="","",IF(E13=1,IF(E8&gt;"05","","ERROR - the smalest dimension for grounding electrode is DN25!"),""))</f>
        <v/>
      </c>
      <c r="I13" s="147"/>
      <c r="J13" s="2"/>
      <c r="K13" s="230"/>
    </row>
    <row r="14" spans="2:11" ht="15.75" customHeight="1" thickBot="1" x14ac:dyDescent="0.3">
      <c r="B14" s="148">
        <v>14</v>
      </c>
      <c r="C14" s="232" t="s">
        <v>364</v>
      </c>
      <c r="D14" s="64"/>
      <c r="E14" s="122" t="str">
        <f>IF(D14="","",VLOOKUP(D14,OC_JTkod,2,FALSE))</f>
        <v/>
      </c>
      <c r="F14" s="146"/>
      <c r="G14" s="183" t="str">
        <f>IF(E8="","",IF(D14="","PN 10",""))</f>
        <v/>
      </c>
      <c r="H14" s="208"/>
      <c r="I14" s="147"/>
      <c r="J14" s="2"/>
      <c r="K14" s="230"/>
    </row>
    <row r="15" spans="2:11" ht="15.75" customHeight="1" thickBot="1" x14ac:dyDescent="0.3">
      <c r="B15" s="148">
        <v>15</v>
      </c>
      <c r="C15" s="153" t="s">
        <v>139</v>
      </c>
      <c r="D15" s="63"/>
      <c r="E15" s="122" t="str">
        <f>IF(D$15=Data!A45,Data!B45,IF(D$15=Data!A46,Data!B46,IF(D$15=Data!A47,Data!B47,IF(D$15=Data!A48,Data!B48,IF(D$15=Data!A49,Data!B49,IF(D$15=Data!A50,Data!B50,IF(D$15=Data!A51,Data!B51,IF(D$15=Data!A52,Data!B52,IF(D$15=Data!A53,Data!B53,IF(D$15=Data!A54,Data!B54,""))))))))))</f>
        <v/>
      </c>
      <c r="F15" s="146"/>
      <c r="G15" s="183" t="str">
        <f>IF(D15="",IF(E6=0,"Max. 70 °C",IF(E6=4,"Max. 70 °C","")),"")</f>
        <v/>
      </c>
      <c r="H15" s="206" t="str">
        <f>IF(D15="","",IF(E15="x","",IF(E6=4,IF(E15&lt;=3,"","ERROR - max. temperature for compact design is 70 °C!"),IF(E10=6,IF(E15&lt;=7,"","ERROR - The selected temperature does not match material of lining!"),""))))</f>
        <v/>
      </c>
      <c r="I15" s="147"/>
      <c r="J15" s="2"/>
      <c r="K15" s="230"/>
    </row>
    <row r="16" spans="2:11" ht="15.75" customHeight="1" thickBot="1" x14ac:dyDescent="0.3">
      <c r="B16" s="148">
        <v>16</v>
      </c>
      <c r="C16" s="121" t="s">
        <v>109</v>
      </c>
      <c r="D16" s="65"/>
      <c r="E16" s="122" t="str">
        <f>IF(D16=Data!A56,Data!B56,IF(D16=Data!A57,Data!B57,""))</f>
        <v/>
      </c>
      <c r="F16" s="146"/>
      <c r="G16" s="208"/>
      <c r="H16" s="208"/>
      <c r="I16" s="147"/>
      <c r="J16" s="2"/>
      <c r="K16" s="230"/>
    </row>
    <row r="17" spans="2:11" ht="15.75" customHeight="1" thickBot="1" x14ac:dyDescent="0.3">
      <c r="B17" s="148">
        <v>17</v>
      </c>
      <c r="C17" s="121" t="s">
        <v>140</v>
      </c>
      <c r="D17" s="65"/>
      <c r="E17" s="122" t="str">
        <f>IF(D17=Data!A59,Data!B59,IF(D17=Data!A60,Data!B60,""))</f>
        <v/>
      </c>
      <c r="F17" s="146"/>
      <c r="G17" s="183" t="str">
        <f>IF(D17="",IF(E6=5,"Standard IP 67",""),"")</f>
        <v/>
      </c>
      <c r="H17" s="206" t="str">
        <f>IF(E17=2,IF(E6=4,"IMPOSSIBLE - IP 68 is possible by remote version only.",""),"")</f>
        <v/>
      </c>
      <c r="I17" s="147"/>
      <c r="J17" s="2"/>
      <c r="K17" s="230"/>
    </row>
    <row r="18" spans="2:11" ht="15.75" customHeight="1" thickBot="1" x14ac:dyDescent="0.3">
      <c r="B18" s="148">
        <v>18</v>
      </c>
      <c r="C18" s="203" t="s">
        <v>110</v>
      </c>
      <c r="D18" s="66"/>
      <c r="E18" s="204" t="str">
        <f>IF(D18=Data!A62,Data!B62,IF(D18=Data!A63,Data!B63,""))</f>
        <v/>
      </c>
      <c r="F18" s="205"/>
      <c r="G18" s="210"/>
      <c r="H18" s="211"/>
      <c r="I18" s="154" t="s">
        <v>241</v>
      </c>
      <c r="J18" s="2"/>
      <c r="K18" s="230"/>
    </row>
    <row r="19" spans="2:11" ht="15.75" customHeight="1" thickBot="1" x14ac:dyDescent="0.3">
      <c r="B19" s="148">
        <v>19</v>
      </c>
      <c r="C19" s="121" t="s">
        <v>340</v>
      </c>
      <c r="D19" s="66"/>
      <c r="E19" s="122" t="str">
        <f>IF(D19="",IF(D20="","",0),1)</f>
        <v/>
      </c>
      <c r="F19" s="146"/>
      <c r="G19" s="207"/>
      <c r="H19" s="208"/>
      <c r="I19" s="154"/>
      <c r="J19" s="2"/>
      <c r="K19" s="230"/>
    </row>
    <row r="20" spans="2:11" ht="15.75" thickBot="1" x14ac:dyDescent="0.3">
      <c r="B20" s="148">
        <v>20</v>
      </c>
      <c r="C20" s="121" t="s">
        <v>111</v>
      </c>
      <c r="D20" s="63"/>
      <c r="E20" s="122" t="str">
        <f>IF(D$20=Data!A67,Data!B67,IF(D$20=Data!A68,Data!B68,""))</f>
        <v/>
      </c>
      <c r="F20" s="146"/>
      <c r="G20" s="229" t="str">
        <f>IF(D20="",IF(E13=1,"Without grounding rings",""),"")</f>
        <v/>
      </c>
      <c r="H20" s="212" t="str">
        <f>IF(D20="","",IF(E20=0,"",IF(E12=E20,"","Material electrodes and grounding rings should be the same. ")))</f>
        <v/>
      </c>
      <c r="I20" s="147"/>
      <c r="J20" s="2"/>
      <c r="K20" s="230"/>
    </row>
    <row r="21" spans="2:11" ht="15.75" customHeight="1" thickBot="1" x14ac:dyDescent="0.3">
      <c r="B21" s="148">
        <v>21</v>
      </c>
      <c r="C21" s="152" t="s">
        <v>112</v>
      </c>
      <c r="D21" s="66"/>
      <c r="E21" s="122" t="str">
        <f>IF(E6=0,0,IF(E6=4,0,IF(D$21=Data!A71,Data!B71,IF(D$21=Data!A72,Data!B72,IF(D$21=Data!A73,Data!B73,IF(D$21=Data!A74,Data!B74,IF(D$21=Data!A75,Data!B75,IF(D$21=Data!A76,Data!B76,IF(D$21=Data!A77,Data!B77,IF(D$21=Data!A78,Data!B78,IF(D$21=Data!A79,Data!B79,"")))))))))))</f>
        <v/>
      </c>
      <c r="F21" s="146"/>
      <c r="G21" s="207"/>
      <c r="H21" s="206" t="str">
        <f>IF(D21="","",IF(E6=0,IF(D21="0","","ERROR - A cable does not belong to the compact version! Value remove!"),IF(E6=4,IF(D21="0","","ERROR - A cable does not belong to the compact version! Value remove!"),"")))</f>
        <v/>
      </c>
      <c r="I21" s="147"/>
      <c r="J21" s="2"/>
      <c r="K21" s="230"/>
    </row>
    <row r="22" spans="2:11" ht="16.5" thickBot="1" x14ac:dyDescent="0.3">
      <c r="B22" s="132" t="s">
        <v>38</v>
      </c>
      <c r="C22" s="127" t="s">
        <v>113</v>
      </c>
      <c r="D22" s="133"/>
      <c r="E22" s="200" t="s">
        <v>0</v>
      </c>
      <c r="F22" s="146"/>
      <c r="G22" s="130"/>
      <c r="H22" s="213"/>
      <c r="I22" s="147"/>
      <c r="J22" s="2"/>
      <c r="K22" s="230"/>
    </row>
    <row r="23" spans="2:11" ht="15.75" customHeight="1" thickBot="1" x14ac:dyDescent="0.3">
      <c r="B23" s="148">
        <v>23</v>
      </c>
      <c r="C23" s="121" t="s">
        <v>238</v>
      </c>
      <c r="D23" s="8"/>
      <c r="E23" s="122" t="str">
        <f>IF(D23=Data!A81,Data!B81,IF(D23=Data!A82,Data!B82,IF(D23=Data!A83,Data!B83,"")))</f>
        <v/>
      </c>
      <c r="F23" s="146"/>
      <c r="G23" s="207"/>
      <c r="H23" s="208"/>
      <c r="I23" s="147"/>
      <c r="J23" s="2"/>
      <c r="K23" s="230"/>
    </row>
    <row r="24" spans="2:11" ht="15.75" customHeight="1" thickBot="1" x14ac:dyDescent="0.3">
      <c r="B24" s="148">
        <v>24</v>
      </c>
      <c r="C24" s="152" t="s">
        <v>173</v>
      </c>
      <c r="D24" s="9"/>
      <c r="E24" s="122" t="str">
        <f>IF(E23=0,"00",IF(D24=Data!A86,Data!B86,IF(D24=Data!A87,Data!B87,IF(D24=Data!A88,Data!B88,IF(D24=Data!A89,Data!B89,IF(D24=Data!A90,Data!B90,IF(D24=Data!A91,Data!B91,IF(D24=Data!A92,Data!B92,IF(D24=Data!A93,Data!B93,IF(D24=Data!A94,Data!B94,IF(D24=Data!A95,Data!B95,IF(D24=Data!A96,Data!B96,IF(D24=Data!A97,Data!B97,IF(D24=Data!A98,Data!B98,IF(D24=Data!A99,Data!B99,"")))))))))))))))</f>
        <v/>
      </c>
      <c r="F24" s="146"/>
      <c r="G24" s="207"/>
      <c r="H24" s="206" t="str">
        <f>IF(E23=0,IF(D24="","","ERROR - Pulse number is not requested, this detail must be empty!"),"")</f>
        <v/>
      </c>
      <c r="I24" s="147"/>
      <c r="J24" s="2"/>
      <c r="K24" s="230"/>
    </row>
    <row r="25" spans="2:11" ht="15.75" customHeight="1" thickBot="1" x14ac:dyDescent="0.3">
      <c r="B25" s="148">
        <v>25</v>
      </c>
      <c r="C25" s="121" t="s">
        <v>141</v>
      </c>
      <c r="D25" s="9"/>
      <c r="E25" s="122" t="str">
        <f>IF(D25=Data!A101,Data!B101,IF(D25=Data!A102,Data!B102,IF(D25=Data!A103,Data!B103,IF(D25=Data!A104,Data!B104,IF(D25=Data!A105,Data!B105,IF(D25=Data!A106,Data!B106,IF(D25=Data!A107,Data!B107,IF(D25=Data!A108,Data!B108,IF(D25=Data!A109,Data!B109,IF(D25=Data!A110,Data!B110,IF(D25=Data!A111,Data!B111,IF(D25=Data!A112,Data!B112,IF(D25=Data!A113,Data!B113,IF(D25=Data!A114,Data!B114,""))))))))))))))</f>
        <v/>
      </c>
      <c r="F25" s="146"/>
      <c r="G25" s="207"/>
      <c r="H25" s="208"/>
      <c r="I25" s="147"/>
      <c r="J25" s="2"/>
      <c r="K25" s="230"/>
    </row>
    <row r="26" spans="2:11" ht="15.75" customHeight="1" thickBot="1" x14ac:dyDescent="0.3">
      <c r="B26" s="148">
        <v>26</v>
      </c>
      <c r="C26" s="121" t="s">
        <v>142</v>
      </c>
      <c r="D26" s="9"/>
      <c r="E26" s="122" t="str">
        <f>IF(D26=Data!A116,Data!B116,IF(D26=Data!A117,Data!B117,IF(D26=Data!A118,Data!B118,IF(D26=Data!A119,Data!B119,IF(D26=Data!A120,Data!B120,IF(D26=Data!A121,Data!B121,IF(D26=Data!A122,Data!B122,IF(D26=Data!A123,Data!B123,IF(D26=Data!A124,Data!B124,IF(D26=Data!A125,Data!B125,IF(D26=Data!A126,Data!B126,IF(D26=Data!A127,Data!B127,IF(D26=Data!A128,Data!B128,IF(D26=Data!A129,Data!B129,IF(D26=Data!A130,Data!B130,IF(D26=Data!A131,Data!B131,IF(D26=Data!A132,Data!B132,IF(D26=Data!A133,Data!B133,IF(D26=Data!A134,Data!B134,IF(D26=Data!A135,Data!B135,IF(D26=Data!A136,Data!B136,IF(D26=Data!A137,Data!B137,IF(D26=Data!A138,Data!B138,IF(D26=Data!A139,Data!B139,IF(D26=Data!A140,Data!B140,IF(D26=Data!A141,Data!B141,""))))))))))))))))))))))))))</f>
        <v/>
      </c>
      <c r="F26" s="146"/>
      <c r="G26" s="207"/>
      <c r="H26" s="208"/>
      <c r="I26" s="147"/>
      <c r="J26" s="2"/>
      <c r="K26" s="230"/>
    </row>
    <row r="27" spans="2:11" ht="15.75" customHeight="1" thickBot="1" x14ac:dyDescent="0.3">
      <c r="B27" s="148">
        <v>27</v>
      </c>
      <c r="C27" s="121" t="s">
        <v>114</v>
      </c>
      <c r="D27" s="8"/>
      <c r="E27" s="122" t="str">
        <f>IF(D27=Data!A143,Data!B143,IF(D27=Data!A144,Data!B144,IF(D27=Data!A145,Data!B145,IF(D27=Data!A146,Data!B146,IF(D27=Data!A147,Data!B147,IF(D27=Data!A148,Data!B148,IF(D27=Data!A149,Data!B149,"")))))))</f>
        <v/>
      </c>
      <c r="F27" s="146"/>
      <c r="G27" s="207"/>
      <c r="H27" s="208"/>
      <c r="I27" s="147"/>
      <c r="J27" s="2"/>
      <c r="K27" s="230"/>
    </row>
    <row r="28" spans="2:11" ht="15.75" customHeight="1" thickBot="1" x14ac:dyDescent="0.3">
      <c r="B28" s="148">
        <v>28</v>
      </c>
      <c r="C28" s="121" t="s">
        <v>115</v>
      </c>
      <c r="D28" s="9"/>
      <c r="E28" s="122" t="str">
        <f>IF(D28=Data!A151,Data!B151,IF(D28=Data!A152,Data!B152,IF(D28=Data!A153,Data!B153,"")))</f>
        <v/>
      </c>
      <c r="F28" s="146"/>
      <c r="G28" s="207"/>
      <c r="H28" s="208"/>
      <c r="I28" s="147"/>
      <c r="J28" s="2"/>
      <c r="K28" s="230"/>
    </row>
    <row r="29" spans="2:11" ht="15.75" customHeight="1" thickBot="1" x14ac:dyDescent="0.3">
      <c r="B29" s="148">
        <v>29</v>
      </c>
      <c r="C29" s="121" t="s">
        <v>273</v>
      </c>
      <c r="D29" s="8"/>
      <c r="E29" s="122" t="str">
        <f>IF(D29=Data!A155,Data!B155,IF(D29=Data!A156,Data!B156,IF(D29=Data!A157,Data!B157,IF(D29=Data!A158,Data!B158,IF(D29=Data!A159,Data!B159,IF(D29=Data!A160,Data!B160,IF(D29=Data!A161,Data!B161,IF(D29=Data!A162,Data!B162,IF(D29=Data!A163,Data!B163,IF(D29=Data!A164,Data!B164,IF(D29=Data!A165,Data!B165,"")))))))))))</f>
        <v/>
      </c>
      <c r="F29" s="139"/>
      <c r="G29" s="207"/>
      <c r="H29" s="214"/>
      <c r="I29" s="155"/>
      <c r="K29" s="230"/>
    </row>
    <row r="30" spans="2:11" ht="15.75" customHeight="1" thickBot="1" x14ac:dyDescent="0.3">
      <c r="B30" s="148">
        <v>30</v>
      </c>
      <c r="C30" s="121" t="s">
        <v>301</v>
      </c>
      <c r="D30" s="37"/>
      <c r="E30" s="122" t="str">
        <f>IF(D30=Data!A167,Data!B167,IF(D30=Data!A168,Data!B168,IF(D30=Data!A169,Data!B169,IF(D30=Data!A170,Data!B170,IF(D30=Data!A171,Data!B171,IF(D30=Data!A172,Data!B172,""))))))</f>
        <v/>
      </c>
      <c r="F30" s="146"/>
      <c r="G30" s="207"/>
      <c r="H30" s="208"/>
      <c r="I30" s="147"/>
      <c r="J30" s="2"/>
      <c r="K30" s="230"/>
    </row>
    <row r="31" spans="2:11" ht="15.75" customHeight="1" thickBot="1" x14ac:dyDescent="0.3">
      <c r="B31" s="148">
        <v>31</v>
      </c>
      <c r="C31" s="121" t="s">
        <v>144</v>
      </c>
      <c r="D31" s="15"/>
      <c r="E31" s="122" t="str">
        <f>IF(D31=Data!A174,Data!B174,IF(D31=Data!A175,Data!B175,""))</f>
        <v/>
      </c>
      <c r="F31" s="146"/>
      <c r="G31" s="207"/>
      <c r="H31" s="208"/>
      <c r="I31" s="147"/>
      <c r="J31" s="2"/>
      <c r="K31" s="230"/>
    </row>
    <row r="32" spans="2:11" ht="15.75" customHeight="1" thickBot="1" x14ac:dyDescent="0.3">
      <c r="B32" s="148">
        <v>32</v>
      </c>
      <c r="C32" s="121" t="s">
        <v>116</v>
      </c>
      <c r="D32" s="9"/>
      <c r="E32" s="122" t="str">
        <f>IF(D32=Data!A177,Data!B177,IF(D32=Data!A178,Data!B178,IF(D32=Data!A179,Data!B179,IF(D32=Data!A180,Data!B180,IF(D32=Data!A181,Data!B181,"")))))</f>
        <v/>
      </c>
      <c r="F32" s="146"/>
      <c r="G32" s="207"/>
      <c r="H32" s="208"/>
      <c r="I32" s="147"/>
      <c r="J32" s="2"/>
      <c r="K32" s="230"/>
    </row>
    <row r="33" spans="2:11" ht="15.75" customHeight="1" thickBot="1" x14ac:dyDescent="0.3">
      <c r="B33" s="148">
        <v>33</v>
      </c>
      <c r="C33" s="121" t="s">
        <v>117</v>
      </c>
      <c r="D33" s="9"/>
      <c r="E33" s="122" t="str">
        <f>IF(D$33=Data!A183,Data!B183,IF(D$33=Data!A184,Data!B184,IF(D$33=Data!A185,Data!B185,IF(D$33=Data!A186,Data!B186,IF(D$33=Data!A187,Data!B187,IF(D$33=Data!A188,Data!B188,IF(D$33=Data!A189,Data!B189,IF(D$33=Data!A190,Data!B190,IF(D$33=Data!A191,Data!B191,IF(D$33=Data!A192,Data!B192,IF(D$33=Data!A193,Data!B193,IF(D$33=Data!A194,Data!B194,IF(D$33=Data!A195,Data!B195,IF(D$33=Data!A196,Data!B196,IF(D$33=Data!A197,Data!B197,IF(D$33=Data!A198,Data!B198,""))))))))))))))))</f>
        <v/>
      </c>
      <c r="F33" s="146"/>
      <c r="G33" s="207"/>
      <c r="H33" s="206" t="str">
        <f>IF(OR(E23="x",E23=0),IF(OR(E33="08",E33="09",E33="10"),"ERROR - This output is not possible if you have not selected the standard Pulse number!",""),"")</f>
        <v/>
      </c>
      <c r="I33" s="147"/>
      <c r="J33" s="2"/>
      <c r="K33" s="230"/>
    </row>
    <row r="34" spans="2:11" ht="15.75" customHeight="1" thickBot="1" x14ac:dyDescent="0.3">
      <c r="B34" s="148">
        <v>34</v>
      </c>
      <c r="C34" s="152" t="s">
        <v>118</v>
      </c>
      <c r="D34" s="9"/>
      <c r="E34" s="122" t="str">
        <f>IF(OR(E33="00",E33="01",E33="02",E33="03",E33="04",E33="05",E33="06",E33="x1"),0,IF(D34=Data!A201,Data!B201,IF(D34=Data!A202,Data!B202,"")))</f>
        <v/>
      </c>
      <c r="F34" s="146"/>
      <c r="G34" s="207"/>
      <c r="H34" s="206" t="str">
        <f>IF(E34=0,IF(D34="","","ERROR – Output OUT1 is not pulse, the data must be empty!"),"")</f>
        <v/>
      </c>
      <c r="I34" s="147"/>
      <c r="J34" s="2"/>
      <c r="K34" s="230"/>
    </row>
    <row r="35" spans="2:11" ht="15.75" customHeight="1" thickBot="1" x14ac:dyDescent="0.3">
      <c r="B35" s="148">
        <v>35</v>
      </c>
      <c r="C35" s="121" t="s">
        <v>119</v>
      </c>
      <c r="D35" s="15"/>
      <c r="E35" s="122" t="str">
        <f>IF(D$35=Data!A204,Data!B204,IF(D$35=Data!A205,Data!B205,IF(D$35=Data!A206,Data!B206,IF(D$35=Data!A207,Data!B207,IF(D$35=Data!A208,Data!B208,IF(D$35=Data!A209,Data!B209,IF(D$35=Data!A210,Data!B210,IF(D$35=Data!A211,Data!B211,IF(D$35=Data!A212,Data!B212,IF(D$35=Data!A213,Data!B213,IF(D$35=Data!A214,Data!B214,IF(D$35=Data!A215,Data!B215,IF(D$35=Data!A216,Data!B216,IF(D$35=Data!A217,Data!B217,IF(D$35=Data!A218,Data!B218,IF(D$35=Data!A219,Data!B219,""))))))))))))))))</f>
        <v/>
      </c>
      <c r="F35" s="139"/>
      <c r="G35" s="207"/>
      <c r="H35" s="206" t="str">
        <f>IF(OR(E23="x",E23=0),IF(OR(E35="08",E35="09",E35="10"),"ERROR - This output is not possible if you have not selected the standard Pulse number!",""),"")</f>
        <v/>
      </c>
      <c r="I35" s="155"/>
      <c r="K35" s="230"/>
    </row>
    <row r="36" spans="2:11" ht="15.75" customHeight="1" thickBot="1" x14ac:dyDescent="0.3">
      <c r="B36" s="148">
        <v>36</v>
      </c>
      <c r="C36" s="152" t="s">
        <v>120</v>
      </c>
      <c r="D36" s="9"/>
      <c r="E36" s="122" t="str">
        <f>IF(OR(E35="00",E35="01",E35="02",E35="03",E35="04",E35="05",E35="06",E35="x1"),0,IF(D36=Data!A222,Data!B222,IF(D36=Data!A223,Data!B223,"")))</f>
        <v/>
      </c>
      <c r="F36" s="146"/>
      <c r="G36" s="207"/>
      <c r="H36" s="206" t="str">
        <f>IF(E36=0,IF(D36="","","ERROR – Output OUT2 is not pulse, the data must be empty!"),"")</f>
        <v/>
      </c>
      <c r="I36" s="147"/>
      <c r="J36" s="2"/>
      <c r="K36" s="230"/>
    </row>
    <row r="37" spans="2:11" ht="16.5" thickBot="1" x14ac:dyDescent="0.3">
      <c r="B37" s="132" t="s">
        <v>38</v>
      </c>
      <c r="C37" s="134" t="s">
        <v>337</v>
      </c>
      <c r="D37" s="133" t="s">
        <v>38</v>
      </c>
      <c r="E37" s="200" t="s">
        <v>0</v>
      </c>
      <c r="F37" s="146"/>
      <c r="G37" s="130"/>
      <c r="H37" s="213"/>
      <c r="I37" s="147"/>
      <c r="K37" s="230"/>
    </row>
    <row r="38" spans="2:11" ht="15.75" customHeight="1" thickBot="1" x14ac:dyDescent="0.3">
      <c r="B38" s="148">
        <v>38</v>
      </c>
      <c r="C38" s="153" t="s">
        <v>334</v>
      </c>
      <c r="D38" s="9"/>
      <c r="E38" s="122" t="str">
        <f>IF(D38=Data!A225,Data!B225,IF(D38=Data!A226,Data!B226,""))</f>
        <v/>
      </c>
      <c r="F38" s="139"/>
      <c r="G38" s="207"/>
      <c r="H38" s="214"/>
      <c r="I38" s="155"/>
      <c r="K38" s="230"/>
    </row>
    <row r="39" spans="2:11" ht="15.75" customHeight="1" thickBot="1" x14ac:dyDescent="0.3">
      <c r="B39" s="148">
        <v>39</v>
      </c>
      <c r="C39" s="152" t="s">
        <v>145</v>
      </c>
      <c r="D39" s="8"/>
      <c r="E39" s="122" t="str">
        <f>IF(E38=0,"000",IF(D39="","",IF(D39&lt;10,"00"&amp;D39,IF(D39&lt;100,"0"&amp;D39,D39))))</f>
        <v/>
      </c>
      <c r="F39" s="139"/>
      <c r="G39" s="183" t="str">
        <f>IF(E38=1,IF(D39="","4",""),"")</f>
        <v/>
      </c>
      <c r="H39" s="206" t="str">
        <f>IF(E38=0,IF(D39="","","Communication not required, the data must be empty!"),"")</f>
        <v/>
      </c>
      <c r="I39" s="155"/>
      <c r="K39" s="230"/>
    </row>
    <row r="40" spans="2:11" ht="15.75" customHeight="1" thickBot="1" x14ac:dyDescent="0.3">
      <c r="B40" s="148">
        <v>40</v>
      </c>
      <c r="C40" s="152" t="s">
        <v>146</v>
      </c>
      <c r="D40" s="9"/>
      <c r="E40" s="122" t="str">
        <f>IF(E38=0,0,IF(D40=Data!A230,Data!B230,IF(D40=Data!A231,Data!B231,IF(D40=Data!A232,Data!B232,IF(D40=Data!A233,Data!B233,IF(D40=Data!A234,Data!B234,IF(D40=Data!A235,Data!B235,IF(D40=Data!A236,Data!B236,IF(D40=Data!A237,Data!B237,IF(D40=Data!A238,Data!B238,""))))))))))</f>
        <v/>
      </c>
      <c r="F40" s="139"/>
      <c r="G40" s="207"/>
      <c r="H40" s="206" t="str">
        <f>IF(E38=0,IF(D40="","","Communication not required, the data must be empty!"),"")</f>
        <v/>
      </c>
      <c r="I40" s="155"/>
      <c r="K40" s="230"/>
    </row>
    <row r="41" spans="2:11" ht="15.75" hidden="1" customHeight="1" thickBot="1" x14ac:dyDescent="0.3">
      <c r="B41" s="148">
        <v>41</v>
      </c>
      <c r="C41" s="152" t="s">
        <v>99</v>
      </c>
      <c r="D41" s="217" t="s">
        <v>297</v>
      </c>
      <c r="E41" s="122" t="str">
        <f>IF(E38=0,0,IF(E40&lt;&gt;"",0,""))</f>
        <v/>
      </c>
      <c r="F41" s="139"/>
      <c r="G41" s="207"/>
      <c r="H41" s="214"/>
      <c r="I41" s="155"/>
      <c r="K41" s="230"/>
    </row>
    <row r="42" spans="2:11" ht="15.75" customHeight="1" thickBot="1" x14ac:dyDescent="0.3">
      <c r="B42" s="148">
        <v>42</v>
      </c>
      <c r="C42" s="152" t="s">
        <v>147</v>
      </c>
      <c r="D42" s="14"/>
      <c r="E42" s="122" t="str">
        <f>IF(E38=0,0,IF(D42=Data!A243,Data!B243,IF(D42=Data!A244,Data!B244,"")))</f>
        <v/>
      </c>
      <c r="F42" s="139"/>
      <c r="G42" s="207"/>
      <c r="H42" s="206" t="str">
        <f>IF(E38=0,IF(D42="","","Communication not required, the data must be empty!"),"")</f>
        <v/>
      </c>
      <c r="I42" s="155"/>
      <c r="K42" s="230"/>
    </row>
    <row r="43" spans="2:11" ht="16.5" thickBot="1" x14ac:dyDescent="0.3">
      <c r="B43" s="132" t="s">
        <v>38</v>
      </c>
      <c r="C43" s="134" t="s">
        <v>353</v>
      </c>
      <c r="D43" s="133" t="s">
        <v>38</v>
      </c>
      <c r="E43" s="200" t="s">
        <v>0</v>
      </c>
      <c r="F43" s="146"/>
      <c r="G43" s="130"/>
      <c r="H43" s="213"/>
      <c r="I43" s="147"/>
      <c r="K43" s="230"/>
    </row>
    <row r="44" spans="2:11" ht="24" customHeight="1" thickBot="1" x14ac:dyDescent="0.3">
      <c r="B44" s="148">
        <v>44</v>
      </c>
      <c r="C44" s="121" t="s">
        <v>354</v>
      </c>
      <c r="D44" s="14"/>
      <c r="E44" s="122" t="str">
        <f>IF(D44=Data!A246,Data!B246,IF(D44=Data!A247,Data!B247,IF(D44=Data!A248,Data!B248,IF(D44=Data!A249,Data!B249,IF(D44=Data!A250,Data!B250,"")))))</f>
        <v/>
      </c>
      <c r="F44" s="139"/>
      <c r="G44" s="207"/>
      <c r="H44" s="209" t="str">
        <f>IF(E44=1,"Max. error for the top area of flow: ±2 % for temperature up to 30 °C and ±3 % for temperature above 30 °C. For lower area: ±5 % without temperature limitation.",IF(E44=2,"It is valid for flow range from 5 to 100% Q4",IF(E44=3,"It is valid for flow range from 10 to 100% Q4","")))</f>
        <v/>
      </c>
      <c r="I44" s="155"/>
      <c r="K44" s="230"/>
    </row>
    <row r="45" spans="2:11" ht="16.5" thickBot="1" x14ac:dyDescent="0.3">
      <c r="B45" s="132" t="s">
        <v>38</v>
      </c>
      <c r="C45" s="134" t="s">
        <v>121</v>
      </c>
      <c r="D45" s="133" t="s">
        <v>38</v>
      </c>
      <c r="E45" s="201" t="s">
        <v>0</v>
      </c>
      <c r="F45" s="146"/>
      <c r="G45" s="130"/>
      <c r="H45" s="213"/>
      <c r="I45" s="147"/>
      <c r="K45" s="230"/>
    </row>
    <row r="46" spans="2:11" ht="20.100000000000001" customHeight="1" thickBot="1" x14ac:dyDescent="0.3">
      <c r="B46" s="148">
        <v>46</v>
      </c>
      <c r="C46" s="121" t="s">
        <v>122</v>
      </c>
      <c r="D46" s="34"/>
      <c r="E46" s="156" t="str">
        <f>IF(D46="","",IF(D46=0,"000",IF(D46&lt;10,"00"&amp;D46,IF(D46&lt;100,"0"&amp;D46,D46))))</f>
        <v/>
      </c>
      <c r="F46" s="139"/>
      <c r="G46" s="207"/>
      <c r="H46" s="214"/>
      <c r="I46" s="155"/>
      <c r="K46" s="230"/>
    </row>
    <row r="47" spans="2:11" ht="20.100000000000001" customHeight="1" thickBot="1" x14ac:dyDescent="0.3">
      <c r="B47" s="148">
        <v>47</v>
      </c>
      <c r="C47" s="121" t="s">
        <v>123</v>
      </c>
      <c r="D47" s="14"/>
      <c r="E47" s="122" t="str">
        <f>IF(D47=Data!A254,Data!B254,IF(D47=Data!A255,Data!B255,IF(D47=Data!A256,Data!B256,"")))</f>
        <v/>
      </c>
      <c r="F47" s="139"/>
      <c r="G47" s="207"/>
      <c r="H47" s="214"/>
      <c r="I47" s="155"/>
      <c r="K47" s="230"/>
    </row>
    <row r="48" spans="2:11" ht="20.100000000000001" customHeight="1" thickBot="1" x14ac:dyDescent="0.3">
      <c r="B48" s="148">
        <v>48</v>
      </c>
      <c r="C48" s="121" t="s">
        <v>124</v>
      </c>
      <c r="D48" s="14"/>
      <c r="E48" s="122" t="str">
        <f>IF(D48=Data!A258,Data!B258,IF(D48=Data!A259,Data!B259,IF(D48=Data!A260,Data!B260,IF(D48=Data!A261,Data!B261,""))))</f>
        <v/>
      </c>
      <c r="F48" s="139"/>
      <c r="G48" s="207"/>
      <c r="H48" s="214"/>
      <c r="I48" s="155"/>
      <c r="K48" s="230"/>
    </row>
    <row r="49" spans="2:11" ht="20.100000000000001" customHeight="1" thickBot="1" x14ac:dyDescent="0.3">
      <c r="B49" s="148">
        <v>49</v>
      </c>
      <c r="C49" s="121" t="s">
        <v>125</v>
      </c>
      <c r="D49" s="14"/>
      <c r="E49" s="122" t="str">
        <f>IF(D49=Data!A263,Data!B263,IF(D49=Data!A264,Data!B264,IF(D49=Data!A265,Data!B265,IF(D49=Data!A266,Data!B266,IF(D49=Data!A267,Data!B267,IF(D49=Data!A268,Data!B268,""))))))</f>
        <v/>
      </c>
      <c r="F49" s="139"/>
      <c r="G49" s="207"/>
      <c r="H49" s="214"/>
      <c r="I49" s="155"/>
      <c r="K49" s="230"/>
    </row>
    <row r="50" spans="2:11" ht="16.5" thickBot="1" x14ac:dyDescent="0.3">
      <c r="B50" s="132" t="s">
        <v>38</v>
      </c>
      <c r="C50" s="134" t="s">
        <v>126</v>
      </c>
      <c r="D50" s="133" t="s">
        <v>38</v>
      </c>
      <c r="E50" s="201" t="s">
        <v>0</v>
      </c>
      <c r="F50" s="157"/>
      <c r="G50" s="130"/>
      <c r="H50" s="213"/>
      <c r="I50" s="147"/>
      <c r="K50" s="230"/>
    </row>
    <row r="51" spans="2:11" ht="15.75" thickBot="1" x14ac:dyDescent="0.3">
      <c r="B51" s="158">
        <v>51</v>
      </c>
      <c r="C51" s="159" t="s">
        <v>127</v>
      </c>
      <c r="D51" s="160" t="s">
        <v>352</v>
      </c>
      <c r="E51" s="161">
        <v>1</v>
      </c>
      <c r="F51" s="162"/>
      <c r="G51" s="215"/>
      <c r="H51" s="206" t="str">
        <f>IF(Nezadano=0,"OK - the specs are complete!",IF(AND(Nezadano&gt;0,Nezadano&lt;20),"The specification is not complete - number of unspecified items: "&amp;Nezadano,""))</f>
        <v/>
      </c>
      <c r="I51" s="163"/>
      <c r="K51" s="230"/>
    </row>
    <row r="52" spans="2:11" ht="19.5" customHeight="1" thickBot="1" x14ac:dyDescent="0.3">
      <c r="B52" s="164">
        <v>52</v>
      </c>
      <c r="C52" s="165" t="s">
        <v>128</v>
      </c>
      <c r="D52" s="49"/>
      <c r="E52" s="182"/>
      <c r="F52" s="162"/>
      <c r="G52" s="215"/>
      <c r="H52" s="216"/>
      <c r="I52" s="163"/>
      <c r="K52" s="230"/>
    </row>
    <row r="53" spans="2:11" ht="9.75" customHeight="1" thickBot="1" x14ac:dyDescent="0.3">
      <c r="E53" s="28"/>
      <c r="H53" s="16"/>
      <c r="K53" s="230"/>
    </row>
    <row r="54" spans="2:11" ht="20.25" customHeight="1" x14ac:dyDescent="0.2">
      <c r="B54" s="166"/>
      <c r="C54" s="167" t="s">
        <v>338</v>
      </c>
      <c r="D54" s="168"/>
      <c r="E54" s="169"/>
      <c r="F54" s="169"/>
      <c r="G54" s="170" t="s">
        <v>129</v>
      </c>
      <c r="H54" s="171"/>
      <c r="I54" s="172"/>
      <c r="K54" s="230"/>
    </row>
    <row r="55" spans="2:11" ht="19.5" customHeight="1" x14ac:dyDescent="0.25">
      <c r="B55" s="173"/>
      <c r="C55" s="50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,"The complete order number is not generated until all parameters have been entered")</f>
        <v>The complete order number is not generated until all parameters have been entered</v>
      </c>
      <c r="D55" s="51"/>
      <c r="E55" s="174"/>
      <c r="F55" s="174"/>
      <c r="G55" s="175" t="s">
        <v>130</v>
      </c>
      <c r="H55" s="176"/>
      <c r="I55" s="143"/>
      <c r="K55" s="230"/>
    </row>
    <row r="56" spans="2:11" ht="19.5" customHeight="1" thickBot="1" x14ac:dyDescent="0.3">
      <c r="B56" s="177"/>
      <c r="C56" s="67" t="str">
        <f>IF(NezadanHW=0,Tech!B4&amp;Tech!B5&amp;Tech!B6&amp;Tech!B7&amp;Tech!B8&amp;Tech!B9&amp;Tech!B10&amp;Tech!B11&amp;Tech!B12&amp;Tech!B13&amp;Tech!B14&amp;Tech!B15&amp;Tech!B16&amp;Tech!B17,"")</f>
        <v/>
      </c>
      <c r="D56" s="45" t="str">
        <f>IF(NezadanHW=0,"← A part of the Order number, which defines the design of the flow meter.","")</f>
        <v/>
      </c>
      <c r="E56" s="178"/>
      <c r="F56" s="179"/>
      <c r="G56" s="180"/>
      <c r="H56" s="180"/>
      <c r="I56" s="181"/>
      <c r="K56" s="230"/>
    </row>
    <row r="57" spans="2:11" ht="12" customHeight="1" thickBot="1" x14ac:dyDescent="0.3">
      <c r="E57" s="28"/>
      <c r="H57" s="16"/>
      <c r="I57" s="38" t="e">
        <f>IF(Nezadano&gt;=0,Tech!B4&amp;Tech!B5&amp;Tech!B6&amp;Tech!B7&amp;Tech!B8&amp;Tech!#REF!&amp;Tech!B9&amp;Tech!B10&amp;Tech!B11&amp;Tech!B12&amp;Tech!B13&amp;Tech!B14&amp;Tech!B15&amp;Tech!#REF!&amp;Tech!B16&amp;Tech!B17&amp;Tech!#REF!&amp;Tech!#REF!&amp;Tech!B18&amp;Tech!B19&amp;Tech!B20&amp;Tech!B21&amp;Tech!B22&amp;Tech!B23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,"")</f>
        <v>#REF!</v>
      </c>
      <c r="K57" s="230"/>
    </row>
    <row r="58" spans="2:11" ht="23.25" customHeight="1" x14ac:dyDescent="0.25">
      <c r="B58" s="184"/>
      <c r="C58" s="185" t="s">
        <v>341</v>
      </c>
      <c r="D58" s="186"/>
      <c r="E58" s="187"/>
      <c r="F58" s="188"/>
      <c r="G58" s="189" t="s">
        <v>342</v>
      </c>
      <c r="H58" s="190"/>
      <c r="I58" s="191"/>
      <c r="K58" s="230"/>
    </row>
    <row r="59" spans="2:11" ht="145.5" customHeight="1" x14ac:dyDescent="0.25">
      <c r="B59" s="192"/>
      <c r="C59" s="233"/>
      <c r="D59" s="233"/>
      <c r="E59" s="122"/>
      <c r="F59" s="139"/>
      <c r="G59" s="234" t="str">
        <f>SoupisNP</f>
        <v/>
      </c>
      <c r="H59" s="235"/>
      <c r="I59" s="193"/>
      <c r="K59" s="230"/>
    </row>
    <row r="60" spans="2:11" ht="8.25" customHeight="1" thickBot="1" x14ac:dyDescent="0.3">
      <c r="B60" s="192"/>
      <c r="C60" s="139"/>
      <c r="D60" s="139"/>
      <c r="E60" s="122"/>
      <c r="F60" s="139"/>
      <c r="G60" s="139"/>
      <c r="H60" s="174"/>
      <c r="I60" s="193"/>
      <c r="K60" s="230"/>
    </row>
    <row r="61" spans="2:11" ht="17.45" customHeight="1" thickBot="1" x14ac:dyDescent="0.3">
      <c r="B61" s="194"/>
      <c r="C61" s="121" t="s">
        <v>131</v>
      </c>
      <c r="D61" s="120"/>
      <c r="E61" s="122"/>
      <c r="F61" s="139"/>
      <c r="G61" s="139"/>
      <c r="H61" s="174"/>
      <c r="I61" s="193"/>
      <c r="K61" s="230"/>
    </row>
    <row r="62" spans="2:11" ht="17.45" customHeight="1" thickBot="1" x14ac:dyDescent="0.3">
      <c r="B62" s="194"/>
      <c r="C62" s="121" t="s">
        <v>132</v>
      </c>
      <c r="D62" s="119"/>
      <c r="E62" s="122"/>
      <c r="F62" s="139"/>
      <c r="G62" s="139"/>
      <c r="H62" s="174"/>
      <c r="I62" s="193"/>
      <c r="K62" s="230"/>
    </row>
    <row r="63" spans="2:11" ht="17.45" customHeight="1" thickBot="1" x14ac:dyDescent="0.3">
      <c r="B63" s="194"/>
      <c r="C63" s="121" t="s">
        <v>133</v>
      </c>
      <c r="D63" s="35"/>
      <c r="E63" s="122"/>
      <c r="F63" s="139"/>
      <c r="G63" s="139"/>
      <c r="H63" s="174"/>
      <c r="I63" s="193"/>
      <c r="K63" s="230"/>
    </row>
    <row r="64" spans="2:11" ht="17.45" customHeight="1" thickBot="1" x14ac:dyDescent="0.3">
      <c r="B64" s="194"/>
      <c r="C64" s="121" t="s">
        <v>134</v>
      </c>
      <c r="D64" s="35"/>
      <c r="E64" s="122"/>
      <c r="F64" s="139"/>
      <c r="G64" s="139"/>
      <c r="H64" s="174"/>
      <c r="I64" s="193"/>
      <c r="K64" s="230"/>
    </row>
    <row r="65" spans="2:11" ht="17.45" customHeight="1" thickBot="1" x14ac:dyDescent="0.3">
      <c r="B65" s="194"/>
      <c r="C65" s="121" t="s">
        <v>299</v>
      </c>
      <c r="D65" s="119"/>
      <c r="E65" s="122"/>
      <c r="F65" s="139"/>
      <c r="G65" s="139"/>
      <c r="H65" s="174"/>
      <c r="I65" s="193"/>
      <c r="K65" s="230"/>
    </row>
    <row r="66" spans="2:11" ht="17.45" customHeight="1" thickBot="1" x14ac:dyDescent="0.3">
      <c r="B66" s="194"/>
      <c r="C66" s="121" t="s">
        <v>300</v>
      </c>
      <c r="D66" s="36"/>
      <c r="E66" s="122"/>
      <c r="F66" s="139"/>
      <c r="G66" s="139"/>
      <c r="H66" s="174"/>
      <c r="I66" s="193"/>
      <c r="K66" s="230"/>
    </row>
    <row r="67" spans="2:11" ht="8.25" customHeight="1" thickBot="1" x14ac:dyDescent="0.3">
      <c r="B67" s="195"/>
      <c r="C67" s="196"/>
      <c r="D67" s="196"/>
      <c r="E67" s="197"/>
      <c r="F67" s="196"/>
      <c r="G67" s="196"/>
      <c r="H67" s="198"/>
      <c r="I67" s="199"/>
      <c r="K67" s="230"/>
    </row>
    <row r="68" spans="2:11" ht="18.75" customHeight="1" x14ac:dyDescent="0.25">
      <c r="B68" s="253" t="s">
        <v>380</v>
      </c>
      <c r="C68" s="254"/>
      <c r="D68" s="219"/>
      <c r="E68" s="218"/>
      <c r="K68" s="230"/>
    </row>
  </sheetData>
  <sheetProtection algorithmName="SHA-512" hashValue="yS5B1pQrz55TVYXePGy0Wsvtl3e0BdA3TrL7b24gOZdDmxvj+K2OAdHkC/CGG3qxZjy6OKxzzn0lK3XqjSgUhA==" saltValue="Fw4PxkakDqAcLzW6GCuoiQ==" spinCount="100000" sheet="1" formatColumns="0" formatRows="0"/>
  <mergeCells count="2">
    <mergeCell ref="C59:D59"/>
    <mergeCell ref="G59:H59"/>
  </mergeCells>
  <conditionalFormatting sqref="C21">
    <cfRule type="expression" dxfId="15" priority="25">
      <formula>$E$6=4</formula>
    </cfRule>
  </conditionalFormatting>
  <conditionalFormatting sqref="C24">
    <cfRule type="expression" dxfId="14" priority="21">
      <formula>$E$23=0</formula>
    </cfRule>
  </conditionalFormatting>
  <conditionalFormatting sqref="C34">
    <cfRule type="expression" dxfId="13" priority="9">
      <formula>$E$34=0</formula>
    </cfRule>
    <cfRule type="expression" dxfId="12" priority="13">
      <formula>$E$33="00"</formula>
    </cfRule>
  </conditionalFormatting>
  <conditionalFormatting sqref="C36">
    <cfRule type="expression" dxfId="11" priority="8">
      <formula>$E$36=0</formula>
    </cfRule>
    <cfRule type="expression" dxfId="10" priority="12">
      <formula>$E$35="00"</formula>
    </cfRule>
  </conditionalFormatting>
  <conditionalFormatting sqref="C39:C42">
    <cfRule type="expression" dxfId="9" priority="4">
      <formula>$E$38=0</formula>
    </cfRule>
  </conditionalFormatting>
  <conditionalFormatting sqref="D21">
    <cfRule type="expression" dxfId="8" priority="27" stopIfTrue="1">
      <formula>$E$6=0</formula>
    </cfRule>
    <cfRule type="expression" dxfId="7" priority="28">
      <formula>$E$6=4</formula>
    </cfRule>
  </conditionalFormatting>
  <conditionalFormatting sqref="D24">
    <cfRule type="expression" dxfId="6" priority="22">
      <formula>$E$23=0</formula>
    </cfRule>
  </conditionalFormatting>
  <conditionalFormatting sqref="D34">
    <cfRule type="expression" dxfId="5" priority="7">
      <formula>$E$34=0</formula>
    </cfRule>
  </conditionalFormatting>
  <conditionalFormatting sqref="D36">
    <cfRule type="expression" dxfId="4" priority="6">
      <formula>$E$36=0</formula>
    </cfRule>
  </conditionalFormatting>
  <conditionalFormatting sqref="D38">
    <cfRule type="expression" dxfId="3" priority="5">
      <formula>#REF!="0"</formula>
    </cfRule>
  </conditionalFormatting>
  <conditionalFormatting sqref="D39:D42">
    <cfRule type="expression" dxfId="2" priority="3">
      <formula>$E$38=0</formula>
    </cfRule>
  </conditionalFormatting>
  <conditionalFormatting sqref="H51">
    <cfRule type="beginsWith" dxfId="1" priority="1" operator="beginsWith" text="OK">
      <formula>LEFT(H51,LEN("OK"))="OK"</formula>
    </cfRule>
    <cfRule type="beginsWith" dxfId="0" priority="2" operator="beginsWith" text="OK">
      <formula>LEFT(H51,LEN("OK"))="OK"</formula>
    </cfRule>
  </conditionalFormatting>
  <dataValidations count="42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OC_KPP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4000000}">
      <formula1>OC_MC</formula1>
    </dataValidation>
    <dataValidation type="list" allowBlank="1" showInputMessage="1" showErrorMessage="1" sqref="D12" xr:uid="{00000000-0002-0000-0000-000005000000}">
      <formula1>OC_ME</formula1>
    </dataValidation>
    <dataValidation type="list" allowBlank="1" showInputMessage="1" showErrorMessage="1" sqref="D10" xr:uid="{00000000-0002-0000-0000-000006000000}">
      <formula1>OC_VC</formula1>
    </dataValidation>
    <dataValidation type="list" allowBlank="1" showInputMessage="1" showErrorMessage="1" sqref="D33" xr:uid="{00000000-0002-0000-0000-000007000000}">
      <formula1>OC_VOUT1</formula1>
    </dataValidation>
    <dataValidation type="list" allowBlank="1" showErrorMessage="1" promptTitle="Upozornění" prompt="IP 68 nelze provést u kompaktního provedení!" sqref="D11:D12" xr:uid="{00000000-0002-0000-0000-000008000000}">
      <formula1>OC_KC</formula1>
    </dataValidation>
    <dataValidation type="list" allowBlank="1" showInputMessage="1" showErrorMessage="1" sqref="D13" xr:uid="{00000000-0002-0000-0000-000009000000}">
      <formula1>OC_ZE</formula1>
    </dataValidation>
    <dataValidation type="list" allowBlank="1" showInputMessage="1" showErrorMessage="1" sqref="D14" xr:uid="{00000000-0002-0000-0000-00000A000000}">
      <formula1>OC_JT</formula1>
    </dataValidation>
    <dataValidation type="list" allowBlank="1" showInputMessage="1" showErrorMessage="1" sqref="D15" xr:uid="{00000000-0002-0000-0000-00000B000000}">
      <formula1>OC_MPTM</formula1>
    </dataValidation>
    <dataValidation type="list" allowBlank="1" showInputMessage="1" showErrorMessage="1" sqref="D21" xr:uid="{00000000-0002-0000-0000-00000C000000}">
      <formula1>OC_DK</formula1>
    </dataValidation>
    <dataValidation type="list" allowBlank="1" showInputMessage="1" showErrorMessage="1" sqref="D16" xr:uid="{00000000-0002-0000-0000-00000D000000}">
      <formula1>OC_N</formula1>
    </dataValidation>
    <dataValidation type="list" allowBlank="1" showInputMessage="1" showErrorMessage="1" sqref="D17" xr:uid="{00000000-0002-0000-0000-00000E000000}">
      <formula1>OC_KSE</formula1>
    </dataValidation>
    <dataValidation type="list" allowBlank="1" showInputMessage="1" showErrorMessage="1" sqref="D21" xr:uid="{00000000-0002-0000-0000-00000F000000}">
      <formula1>OC_DTdPED</formula1>
    </dataValidation>
    <dataValidation type="list" allowBlank="1" showInputMessage="1" showErrorMessage="1" sqref="D28" xr:uid="{00000000-0002-0000-0000-000010000000}">
      <formula1>OC_NM</formula1>
    </dataValidation>
    <dataValidation type="list" allowBlank="1" showInputMessage="1" showErrorMessage="1" sqref="D32" xr:uid="{00000000-0002-0000-0000-000011000000}">
      <formula1>OC_AV</formula1>
    </dataValidation>
    <dataValidation type="list" allowBlank="1" showInputMessage="1" showErrorMessage="1" sqref="D27" xr:uid="{00000000-0002-0000-0000-000012000000}">
      <formula1>OC_PVpP</formula1>
    </dataValidation>
    <dataValidation type="list" allowBlank="1" showInputMessage="1" showErrorMessage="1" sqref="D24" xr:uid="{00000000-0002-0000-0000-000013000000}">
      <formula1>OC_JIC</formula1>
    </dataValidation>
    <dataValidation type="list" allowBlank="1" showInputMessage="1" showErrorMessage="1" sqref="D23" xr:uid="{00000000-0002-0000-0000-000014000000}">
      <formula1>OC_IC</formula1>
    </dataValidation>
    <dataValidation type="list" allowBlank="1" showInputMessage="1" showErrorMessage="1" sqref="D30" xr:uid="{00000000-0002-0000-0000-000015000000}">
      <formula1>OC_Zobr</formula1>
    </dataValidation>
    <dataValidation type="list" allowBlank="1" showInputMessage="1" showErrorMessage="1" sqref="D35" xr:uid="{00000000-0002-0000-0000-000016000000}">
      <formula1>OC_VOUT2</formula1>
    </dataValidation>
    <dataValidation type="list" allowBlank="1" showInputMessage="1" showErrorMessage="1" sqref="D29" xr:uid="{00000000-0002-0000-0000-000017000000}">
      <formula1>OC_ZJ</formula1>
    </dataValidation>
    <dataValidation type="list" allowBlank="1" showInputMessage="1" showErrorMessage="1" sqref="D40" xr:uid="{8F9D9B06-420E-4023-85F2-FD60C9BDC8E0}">
      <formula1>OC_RP</formula1>
    </dataValidation>
    <dataValidation type="list" allowBlank="1" showInputMessage="1" showErrorMessage="1" sqref="D44" xr:uid="{00000000-0002-0000-0000-000019000000}">
      <formula1>OC_MP</formula1>
    </dataValidation>
    <dataValidation type="list" allowBlank="1" showInputMessage="1" showErrorMessage="1" sqref="D48" xr:uid="{00000000-0002-0000-0000-00001A000000}">
      <formula1>OC_ZP</formula1>
    </dataValidation>
    <dataValidation type="list" allowBlank="1" showInputMessage="1" showErrorMessage="1" sqref="D49" xr:uid="{00000000-0002-0000-0000-00001B000000}">
      <formula1>OC_Z</formula1>
    </dataValidation>
    <dataValidation type="list" allowBlank="1" showInputMessage="1" showErrorMessage="1" sqref="D13 D20" xr:uid="{00000000-0002-0000-0000-00001E000000}">
      <formula1>OC_ZK</formula1>
    </dataValidation>
    <dataValidation type="list" allowBlank="1" showInputMessage="1" showErrorMessage="1" sqref="D47" xr:uid="{00000000-0002-0000-0000-00001F000000}">
      <formula1>OC_B</formula1>
    </dataValidation>
    <dataValidation type="whole" allowBlank="1" showInputMessage="1" showErrorMessage="1" sqref="D46" xr:uid="{00000000-0002-0000-0000-000020000000}">
      <formula1>0</formula1>
      <formula2>999</formula2>
    </dataValidation>
    <dataValidation type="whole" allowBlank="1" showInputMessage="1" showErrorMessage="1" errorTitle="CHYBA" error="Číslo musí být v rozsahu 1 až 247." sqref="D39" xr:uid="{7C6D6B35-40F0-479B-846C-D80E6326AF57}">
      <formula1>1</formula1>
      <formula2>247</formula2>
    </dataValidation>
    <dataValidation type="list" allowBlank="1" showInputMessage="1" showErrorMessage="1" sqref="D18" xr:uid="{00000000-0002-0000-0000-000022000000}">
      <formula1>OC_MT</formula1>
    </dataValidation>
    <dataValidation type="list" allowBlank="1" showInputMessage="1" showErrorMessage="1" sqref="D23:D24 D32:D33 D27:D30" xr:uid="{00000000-0002-0000-0000-000023000000}">
      <formula1>OC_DM</formula1>
    </dataValidation>
    <dataValidation type="list" allowBlank="1" showInputMessage="1" showErrorMessage="1" sqref="D23 D26" xr:uid="{00000000-0002-0000-0000-000024000000}">
      <formula1>OC_JP</formula1>
    </dataValidation>
    <dataValidation type="list" allowBlank="1" showErrorMessage="1" promptTitle="Upozornění" prompt="IP 68 nelze provést u kompaktního provedení!" sqref="D13" xr:uid="{00000000-0002-0000-0000-000025000000}">
      <formula1>OC_ZE</formula1>
    </dataValidation>
    <dataValidation type="list" allowBlank="1" showInputMessage="1" showErrorMessage="1" sqref="D31" xr:uid="{00000000-0002-0000-0000-000026000000}">
      <formula1>OC_Prut</formula1>
    </dataValidation>
    <dataValidation type="list" allowBlank="1" showInputMessage="1" showErrorMessage="1" sqref="D34" xr:uid="{00000000-0002-0000-0000-000027000000}">
      <formula1>OC_FOUT1</formula1>
    </dataValidation>
    <dataValidation type="list" allowBlank="1" showInputMessage="1" showErrorMessage="1" sqref="D36" xr:uid="{00000000-0002-0000-0000-000028000000}">
      <formula1>OC_FOUT2</formula1>
    </dataValidation>
    <dataValidation type="list" allowBlank="1" showInputMessage="1" showErrorMessage="1" sqref="D41" xr:uid="{E34E0E8A-95EB-4595-9081-04A06758FA78}">
      <formula1>OC_H</formula1>
    </dataValidation>
    <dataValidation type="list" allowBlank="1" showInputMessage="1" showErrorMessage="1" sqref="D42" xr:uid="{4480787E-DB7C-41CF-81FA-107A034FDD2C}">
      <formula1>OC_F4vp</formula1>
    </dataValidation>
    <dataValidation type="list" allowBlank="1" showInputMessage="1" showErrorMessage="1" sqref="D25" xr:uid="{00000000-0002-0000-0000-00002B000000}">
      <formula1>OC_JO</formula1>
    </dataValidation>
    <dataValidation type="list" allowBlank="1" showInputMessage="1" showErrorMessage="1" sqref="D38" xr:uid="{19F00D85-FDBD-46D1-8141-517A3A960F93}">
      <formula1>OC_R</formula1>
    </dataValidation>
  </dataValidations>
  <pageMargins left="0.62992125984251968" right="0.23622047244094491" top="0.74803149606299213" bottom="0.74803149606299213" header="0.31496062992125984" footer="0.31496062992125984"/>
  <pageSetup paperSize="9" scale="77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8"/>
  <sheetViews>
    <sheetView zoomScaleNormal="100" workbookViewId="0">
      <selection activeCell="C16" sqref="C16"/>
    </sheetView>
  </sheetViews>
  <sheetFormatPr defaultRowHeight="15" x14ac:dyDescent="0.25"/>
  <cols>
    <col min="1" max="1" width="64.85546875" customWidth="1"/>
    <col min="3" max="3" width="12" customWidth="1"/>
    <col min="4" max="4" width="16.28515625" customWidth="1"/>
    <col min="5" max="5" width="14.140625" customWidth="1"/>
    <col min="6" max="6" width="28.7109375" customWidth="1"/>
  </cols>
  <sheetData>
    <row r="1" spans="1:6" x14ac:dyDescent="0.25">
      <c r="A1" s="4" t="s">
        <v>357</v>
      </c>
      <c r="B1" s="55" t="s">
        <v>148</v>
      </c>
      <c r="F1" s="231" t="s">
        <v>302</v>
      </c>
    </row>
    <row r="2" spans="1:6" x14ac:dyDescent="0.25">
      <c r="A2" s="53" t="s">
        <v>379</v>
      </c>
      <c r="B2" s="56">
        <v>1</v>
      </c>
      <c r="C2" s="56"/>
      <c r="F2" s="109"/>
    </row>
    <row r="3" spans="1:6" x14ac:dyDescent="0.25">
      <c r="A3" s="53" t="s">
        <v>358</v>
      </c>
      <c r="B3" s="56">
        <v>2</v>
      </c>
      <c r="C3" s="56"/>
      <c r="F3" s="109"/>
    </row>
    <row r="4" spans="1:6" x14ac:dyDescent="0.25">
      <c r="A4" s="5" t="s">
        <v>359</v>
      </c>
      <c r="B4" s="56">
        <v>3</v>
      </c>
      <c r="C4" s="56"/>
      <c r="F4" s="109"/>
    </row>
    <row r="5" spans="1:6" x14ac:dyDescent="0.25">
      <c r="A5" s="53" t="s">
        <v>360</v>
      </c>
      <c r="B5" s="56">
        <v>4</v>
      </c>
      <c r="C5" s="56"/>
      <c r="F5" s="109"/>
    </row>
    <row r="6" spans="1:6" x14ac:dyDescent="0.25">
      <c r="A6" s="5" t="s">
        <v>149</v>
      </c>
      <c r="B6" s="56" t="s">
        <v>53</v>
      </c>
      <c r="C6" s="56"/>
      <c r="F6" s="109"/>
    </row>
    <row r="7" spans="1:6" x14ac:dyDescent="0.25">
      <c r="A7" s="4" t="s">
        <v>102</v>
      </c>
      <c r="B7" s="57"/>
      <c r="C7" s="110" t="s">
        <v>310</v>
      </c>
      <c r="F7" s="109"/>
    </row>
    <row r="8" spans="1:6" x14ac:dyDescent="0.25">
      <c r="A8" s="5" t="s">
        <v>150</v>
      </c>
      <c r="B8" s="56">
        <v>4</v>
      </c>
      <c r="C8" s="118" t="s">
        <v>313</v>
      </c>
      <c r="D8" s="111">
        <v>264.17205235814998</v>
      </c>
      <c r="F8" s="109"/>
    </row>
    <row r="9" spans="1:6" x14ac:dyDescent="0.25">
      <c r="A9" s="5" t="s">
        <v>151</v>
      </c>
      <c r="B9" s="56">
        <v>5</v>
      </c>
      <c r="F9" s="109"/>
    </row>
    <row r="10" spans="1:6" ht="24" x14ac:dyDescent="0.25">
      <c r="A10" s="52" t="s">
        <v>315</v>
      </c>
      <c r="B10" s="57"/>
      <c r="C10" s="116" t="s">
        <v>312</v>
      </c>
      <c r="D10" s="116" t="s">
        <v>311</v>
      </c>
      <c r="E10" s="117" t="s">
        <v>314</v>
      </c>
      <c r="F10" s="109"/>
    </row>
    <row r="11" spans="1:6" x14ac:dyDescent="0.25">
      <c r="A11" s="5" t="s">
        <v>367</v>
      </c>
      <c r="B11" s="56" t="s">
        <v>3</v>
      </c>
      <c r="C11" s="112">
        <v>2.8</v>
      </c>
      <c r="D11" s="113">
        <f t="shared" ref="D11:D20" si="0">C11*gal_m3</f>
        <v>739.68174660281989</v>
      </c>
      <c r="E11" s="114">
        <f t="shared" ref="E11:E20" si="1">D11/60</f>
        <v>12.328029110046998</v>
      </c>
      <c r="F11" s="109"/>
    </row>
    <row r="12" spans="1:6" ht="15.75" customHeight="1" x14ac:dyDescent="0.25">
      <c r="A12" s="5" t="s">
        <v>368</v>
      </c>
      <c r="B12" s="56" t="s">
        <v>4</v>
      </c>
      <c r="C12" s="115">
        <v>7.87</v>
      </c>
      <c r="D12" s="113">
        <f t="shared" si="0"/>
        <v>2079.0340520586406</v>
      </c>
      <c r="E12" s="114">
        <f t="shared" si="1"/>
        <v>34.650567534310674</v>
      </c>
      <c r="F12" s="109"/>
    </row>
    <row r="13" spans="1:6" ht="15.75" customHeight="1" x14ac:dyDescent="0.25">
      <c r="A13" s="5" t="s">
        <v>369</v>
      </c>
      <c r="B13" s="56" t="s">
        <v>5</v>
      </c>
      <c r="C13" s="112">
        <v>12</v>
      </c>
      <c r="D13" s="113">
        <f t="shared" si="0"/>
        <v>3170.0646282977996</v>
      </c>
      <c r="E13" s="114">
        <f t="shared" si="1"/>
        <v>52.834410471629994</v>
      </c>
      <c r="F13" s="109"/>
    </row>
    <row r="14" spans="1:6" x14ac:dyDescent="0.25">
      <c r="A14" s="5" t="s">
        <v>370</v>
      </c>
      <c r="B14" s="56" t="s">
        <v>6</v>
      </c>
      <c r="C14" s="112">
        <v>20</v>
      </c>
      <c r="D14" s="113">
        <f t="shared" si="0"/>
        <v>5283.4410471629999</v>
      </c>
      <c r="E14" s="114">
        <f t="shared" si="1"/>
        <v>88.057350786049994</v>
      </c>
      <c r="F14" s="109"/>
    </row>
    <row r="15" spans="1:6" ht="15.75" customHeight="1" x14ac:dyDescent="0.25">
      <c r="A15" s="5" t="s">
        <v>371</v>
      </c>
      <c r="B15" s="56" t="s">
        <v>7</v>
      </c>
      <c r="C15" s="115">
        <v>31.25</v>
      </c>
      <c r="D15" s="113">
        <f t="shared" si="0"/>
        <v>8255.3766361921862</v>
      </c>
      <c r="E15" s="114">
        <f t="shared" si="1"/>
        <v>137.58961060320311</v>
      </c>
      <c r="F15" s="109"/>
    </row>
    <row r="16" spans="1:6" x14ac:dyDescent="0.25">
      <c r="A16" s="5" t="s">
        <v>372</v>
      </c>
      <c r="B16" s="56" t="s">
        <v>8</v>
      </c>
      <c r="C16" s="112">
        <v>50</v>
      </c>
      <c r="D16" s="113">
        <f t="shared" si="0"/>
        <v>13208.6026179075</v>
      </c>
      <c r="E16" s="114">
        <f t="shared" si="1"/>
        <v>220.14337696512499</v>
      </c>
      <c r="F16" s="109"/>
    </row>
    <row r="17" spans="1:6" x14ac:dyDescent="0.25">
      <c r="A17" s="5" t="s">
        <v>373</v>
      </c>
      <c r="B17" s="56" t="s">
        <v>9</v>
      </c>
      <c r="C17" s="112">
        <v>79</v>
      </c>
      <c r="D17" s="113">
        <f t="shared" si="0"/>
        <v>20869.59213629385</v>
      </c>
      <c r="E17" s="114">
        <f t="shared" si="1"/>
        <v>347.82653560489751</v>
      </c>
      <c r="F17" s="109"/>
    </row>
    <row r="18" spans="1:6" x14ac:dyDescent="0.25">
      <c r="A18" s="5" t="s">
        <v>374</v>
      </c>
      <c r="B18" s="56" t="s">
        <v>10</v>
      </c>
      <c r="C18" s="112">
        <v>125</v>
      </c>
      <c r="D18" s="113">
        <f t="shared" si="0"/>
        <v>33021.506544768745</v>
      </c>
      <c r="E18" s="114">
        <f t="shared" si="1"/>
        <v>550.35844241281245</v>
      </c>
      <c r="F18" s="109"/>
    </row>
    <row r="19" spans="1:6" x14ac:dyDescent="0.25">
      <c r="A19" s="5" t="s">
        <v>375</v>
      </c>
      <c r="B19" s="56" t="s">
        <v>11</v>
      </c>
      <c r="C19" s="112">
        <v>200</v>
      </c>
      <c r="D19" s="113">
        <f t="shared" si="0"/>
        <v>52834.410471629999</v>
      </c>
      <c r="E19" s="114">
        <f t="shared" si="1"/>
        <v>880.57350786049994</v>
      </c>
      <c r="F19" s="109"/>
    </row>
    <row r="20" spans="1:6" x14ac:dyDescent="0.25">
      <c r="A20" s="5" t="s">
        <v>376</v>
      </c>
      <c r="B20" s="56" t="s">
        <v>12</v>
      </c>
      <c r="C20" s="112">
        <v>312.5</v>
      </c>
      <c r="D20" s="113">
        <f t="shared" si="0"/>
        <v>82553.766361921866</v>
      </c>
      <c r="E20" s="114">
        <f t="shared" si="1"/>
        <v>1375.8961060320312</v>
      </c>
      <c r="F20" s="109"/>
    </row>
    <row r="21" spans="1:6" x14ac:dyDescent="0.25">
      <c r="A21" s="5" t="s">
        <v>149</v>
      </c>
      <c r="B21" s="56" t="s">
        <v>54</v>
      </c>
      <c r="C21" s="56"/>
      <c r="F21" s="109"/>
    </row>
    <row r="22" spans="1:6" x14ac:dyDescent="0.25">
      <c r="A22" s="4" t="s">
        <v>361</v>
      </c>
      <c r="B22" s="1"/>
      <c r="C22" s="1"/>
      <c r="F22" s="109"/>
    </row>
    <row r="23" spans="1:6" x14ac:dyDescent="0.25">
      <c r="A23" s="5" t="s">
        <v>152</v>
      </c>
      <c r="B23" s="58">
        <v>1</v>
      </c>
      <c r="C23" s="58"/>
      <c r="F23" s="109"/>
    </row>
    <row r="24" spans="1:6" x14ac:dyDescent="0.25">
      <c r="A24" s="5" t="s">
        <v>362</v>
      </c>
      <c r="B24" s="58">
        <v>2</v>
      </c>
      <c r="C24" s="58"/>
      <c r="F24" s="109"/>
    </row>
    <row r="25" spans="1:6" x14ac:dyDescent="0.25">
      <c r="A25" s="4" t="s">
        <v>106</v>
      </c>
      <c r="B25" s="59"/>
      <c r="C25" s="59"/>
      <c r="F25" s="109"/>
    </row>
    <row r="26" spans="1:6" x14ac:dyDescent="0.25">
      <c r="A26" s="53" t="s">
        <v>377</v>
      </c>
      <c r="B26" s="58">
        <v>4</v>
      </c>
      <c r="C26" s="58"/>
      <c r="F26" s="109"/>
    </row>
    <row r="27" spans="1:6" x14ac:dyDescent="0.25">
      <c r="A27" s="53" t="s">
        <v>378</v>
      </c>
      <c r="B27" s="58">
        <v>6</v>
      </c>
      <c r="C27" s="58"/>
      <c r="F27" s="109"/>
    </row>
    <row r="28" spans="1:6" x14ac:dyDescent="0.25">
      <c r="A28" s="4" t="s">
        <v>107</v>
      </c>
      <c r="B28" s="58"/>
      <c r="C28" s="58"/>
      <c r="F28" s="109"/>
    </row>
    <row r="29" spans="1:6" x14ac:dyDescent="0.25">
      <c r="A29" s="5" t="s">
        <v>157</v>
      </c>
      <c r="B29" s="58">
        <v>1</v>
      </c>
      <c r="C29" s="58"/>
      <c r="F29" s="109"/>
    </row>
    <row r="30" spans="1:6" x14ac:dyDescent="0.25">
      <c r="A30" s="5" t="s">
        <v>325</v>
      </c>
      <c r="B30" s="58">
        <v>2</v>
      </c>
      <c r="C30" s="58"/>
      <c r="F30" s="109"/>
    </row>
    <row r="31" spans="1:6" x14ac:dyDescent="0.25">
      <c r="A31" s="4" t="s">
        <v>105</v>
      </c>
      <c r="B31" s="1"/>
      <c r="C31" s="1"/>
      <c r="F31" s="109"/>
    </row>
    <row r="32" spans="1:6" x14ac:dyDescent="0.25">
      <c r="A32" s="53" t="s">
        <v>153</v>
      </c>
      <c r="B32" s="58">
        <v>1</v>
      </c>
      <c r="C32" s="58"/>
      <c r="F32" s="109"/>
    </row>
    <row r="33" spans="1:6" x14ac:dyDescent="0.25">
      <c r="A33" s="53" t="s">
        <v>27</v>
      </c>
      <c r="B33" s="58">
        <v>2</v>
      </c>
      <c r="C33" s="58"/>
      <c r="F33" s="109"/>
    </row>
    <row r="34" spans="1:6" x14ac:dyDescent="0.25">
      <c r="A34" s="53" t="s">
        <v>154</v>
      </c>
      <c r="B34" s="58">
        <v>3</v>
      </c>
      <c r="C34" s="58"/>
      <c r="F34" s="109"/>
    </row>
    <row r="35" spans="1:6" x14ac:dyDescent="0.25">
      <c r="A35" s="53" t="s">
        <v>155</v>
      </c>
      <c r="B35" s="58">
        <v>4</v>
      </c>
      <c r="C35" s="58"/>
      <c r="F35" s="109"/>
    </row>
    <row r="36" spans="1:6" x14ac:dyDescent="0.25">
      <c r="A36" s="53" t="s">
        <v>156</v>
      </c>
      <c r="B36" s="58">
        <v>5</v>
      </c>
      <c r="C36" s="58"/>
      <c r="F36" s="109"/>
    </row>
    <row r="37" spans="1:6" x14ac:dyDescent="0.25">
      <c r="A37" s="53" t="s">
        <v>149</v>
      </c>
      <c r="B37" s="58" t="s">
        <v>53</v>
      </c>
      <c r="C37" s="58"/>
      <c r="F37" s="109"/>
    </row>
    <row r="38" spans="1:6" x14ac:dyDescent="0.25">
      <c r="A38" s="4" t="s">
        <v>158</v>
      </c>
      <c r="B38" s="58"/>
      <c r="C38" s="58"/>
      <c r="F38" s="109"/>
    </row>
    <row r="39" spans="1:6" x14ac:dyDescent="0.25">
      <c r="A39" s="5" t="s">
        <v>159</v>
      </c>
      <c r="B39" s="58">
        <v>1</v>
      </c>
      <c r="C39" s="228" t="s">
        <v>363</v>
      </c>
      <c r="F39" s="109"/>
    </row>
    <row r="40" spans="1:6" x14ac:dyDescent="0.25">
      <c r="A40" s="5" t="s">
        <v>160</v>
      </c>
      <c r="B40" s="58">
        <v>0</v>
      </c>
      <c r="C40" s="58"/>
      <c r="F40" s="109"/>
    </row>
    <row r="41" spans="1:6" x14ac:dyDescent="0.25">
      <c r="A41" s="52" t="s">
        <v>365</v>
      </c>
      <c r="B41" s="58"/>
      <c r="C41" s="58"/>
      <c r="F41" s="109"/>
    </row>
    <row r="42" spans="1:6" x14ac:dyDescent="0.25">
      <c r="A42" s="5" t="s">
        <v>43</v>
      </c>
      <c r="B42" s="58">
        <v>1</v>
      </c>
      <c r="C42" s="58"/>
      <c r="F42" s="109"/>
    </row>
    <row r="43" spans="1:6" x14ac:dyDescent="0.25">
      <c r="A43" s="5" t="s">
        <v>149</v>
      </c>
      <c r="B43" s="58" t="s">
        <v>53</v>
      </c>
      <c r="C43" s="58"/>
      <c r="F43" s="109"/>
    </row>
    <row r="44" spans="1:6" ht="18" x14ac:dyDescent="0.25">
      <c r="A44" s="52" t="s">
        <v>161</v>
      </c>
      <c r="B44" s="59"/>
      <c r="C44" s="59"/>
      <c r="F44" s="109"/>
    </row>
    <row r="45" spans="1:6" x14ac:dyDescent="0.25">
      <c r="A45" s="10" t="s">
        <v>276</v>
      </c>
      <c r="B45" s="58">
        <v>1</v>
      </c>
      <c r="C45" s="58"/>
      <c r="F45" s="109"/>
    </row>
    <row r="46" spans="1:6" x14ac:dyDescent="0.25">
      <c r="A46" s="10" t="s">
        <v>277</v>
      </c>
      <c r="B46" s="58">
        <v>2</v>
      </c>
      <c r="C46" s="58"/>
      <c r="F46" s="109"/>
    </row>
    <row r="47" spans="1:6" x14ac:dyDescent="0.25">
      <c r="A47" s="10" t="s">
        <v>278</v>
      </c>
      <c r="B47" s="58">
        <v>3</v>
      </c>
      <c r="C47" s="58"/>
      <c r="F47" s="109"/>
    </row>
    <row r="48" spans="1:6" x14ac:dyDescent="0.25">
      <c r="A48" s="10" t="s">
        <v>279</v>
      </c>
      <c r="B48" s="58">
        <v>4</v>
      </c>
      <c r="C48" s="58"/>
      <c r="F48" s="109"/>
    </row>
    <row r="49" spans="1:6" x14ac:dyDescent="0.25">
      <c r="A49" s="10" t="s">
        <v>280</v>
      </c>
      <c r="B49" s="58">
        <v>5</v>
      </c>
      <c r="C49" s="58"/>
      <c r="F49" s="109"/>
    </row>
    <row r="50" spans="1:6" x14ac:dyDescent="0.25">
      <c r="A50" s="10" t="s">
        <v>281</v>
      </c>
      <c r="B50" s="58">
        <v>6</v>
      </c>
      <c r="C50" s="58"/>
      <c r="F50" s="109"/>
    </row>
    <row r="51" spans="1:6" x14ac:dyDescent="0.25">
      <c r="A51" s="10" t="s">
        <v>282</v>
      </c>
      <c r="B51" s="58">
        <v>7</v>
      </c>
      <c r="C51" s="58"/>
      <c r="F51" s="109"/>
    </row>
    <row r="52" spans="1:6" x14ac:dyDescent="0.25">
      <c r="A52" s="10" t="s">
        <v>283</v>
      </c>
      <c r="B52" s="58">
        <v>8</v>
      </c>
      <c r="C52" s="58"/>
      <c r="F52" s="109"/>
    </row>
    <row r="53" spans="1:6" x14ac:dyDescent="0.25">
      <c r="A53" s="10" t="s">
        <v>284</v>
      </c>
      <c r="B53" s="58">
        <v>9</v>
      </c>
      <c r="C53" s="58"/>
      <c r="F53" s="109"/>
    </row>
    <row r="54" spans="1:6" x14ac:dyDescent="0.25">
      <c r="A54" s="10" t="s">
        <v>149</v>
      </c>
      <c r="B54" s="58" t="s">
        <v>53</v>
      </c>
      <c r="C54" s="58"/>
      <c r="F54" s="109"/>
    </row>
    <row r="55" spans="1:6" x14ac:dyDescent="0.25">
      <c r="A55" s="4" t="s">
        <v>109</v>
      </c>
      <c r="B55" s="59"/>
      <c r="C55" s="59"/>
      <c r="F55" s="109"/>
    </row>
    <row r="56" spans="1:6" x14ac:dyDescent="0.25">
      <c r="A56" s="6" t="s">
        <v>162</v>
      </c>
      <c r="B56" s="58">
        <v>1</v>
      </c>
      <c r="C56" s="58"/>
      <c r="F56" s="109"/>
    </row>
    <row r="57" spans="1:6" x14ac:dyDescent="0.25">
      <c r="A57" s="6" t="s">
        <v>163</v>
      </c>
      <c r="B57" s="58">
        <v>2</v>
      </c>
      <c r="C57" s="58"/>
      <c r="F57" s="109"/>
    </row>
    <row r="58" spans="1:6" x14ac:dyDescent="0.25">
      <c r="A58" s="52" t="s">
        <v>164</v>
      </c>
      <c r="B58" s="59"/>
      <c r="C58" s="59"/>
      <c r="F58" s="109"/>
    </row>
    <row r="59" spans="1:6" x14ac:dyDescent="0.25">
      <c r="A59" s="5" t="s">
        <v>157</v>
      </c>
      <c r="B59" s="58">
        <v>1</v>
      </c>
      <c r="C59" s="58"/>
      <c r="F59" s="109"/>
    </row>
    <row r="60" spans="1:6" x14ac:dyDescent="0.25">
      <c r="A60" s="5" t="s">
        <v>165</v>
      </c>
      <c r="B60" s="58">
        <v>2</v>
      </c>
      <c r="C60" s="58"/>
      <c r="F60" s="109"/>
    </row>
    <row r="61" spans="1:6" x14ac:dyDescent="0.25">
      <c r="A61" s="52" t="s">
        <v>166</v>
      </c>
      <c r="B61" s="58"/>
      <c r="C61" s="58"/>
      <c r="F61" s="109"/>
    </row>
    <row r="62" spans="1:6" x14ac:dyDescent="0.25">
      <c r="A62" s="5" t="s">
        <v>167</v>
      </c>
      <c r="B62" s="58">
        <v>1</v>
      </c>
      <c r="C62" s="58"/>
      <c r="F62" s="109"/>
    </row>
    <row r="63" spans="1:6" x14ac:dyDescent="0.25">
      <c r="A63" s="6" t="s">
        <v>149</v>
      </c>
      <c r="B63" s="58" t="s">
        <v>53</v>
      </c>
      <c r="C63" s="58"/>
      <c r="F63" s="109"/>
    </row>
    <row r="64" spans="1:6" x14ac:dyDescent="0.25">
      <c r="A64" s="52" t="s">
        <v>168</v>
      </c>
      <c r="B64" s="59"/>
      <c r="C64" s="59"/>
      <c r="F64" s="109"/>
    </row>
    <row r="65" spans="1:6" x14ac:dyDescent="0.25">
      <c r="A65" s="54" t="s">
        <v>44</v>
      </c>
      <c r="B65" s="59"/>
      <c r="C65" s="59"/>
      <c r="F65" s="109"/>
    </row>
    <row r="66" spans="1:6" x14ac:dyDescent="0.25">
      <c r="A66" s="52" t="s">
        <v>111</v>
      </c>
      <c r="B66" s="58"/>
      <c r="C66" s="58"/>
      <c r="F66" s="109"/>
    </row>
    <row r="67" spans="1:6" x14ac:dyDescent="0.25">
      <c r="A67" s="53" t="s">
        <v>169</v>
      </c>
      <c r="B67" s="58">
        <v>0</v>
      </c>
      <c r="C67" s="58"/>
      <c r="F67" s="109"/>
    </row>
    <row r="68" spans="1:6" x14ac:dyDescent="0.25">
      <c r="A68" s="53" t="s">
        <v>274</v>
      </c>
      <c r="B68" s="58">
        <v>1</v>
      </c>
      <c r="C68" s="58"/>
      <c r="F68" s="109"/>
    </row>
    <row r="69" spans="1:6" x14ac:dyDescent="0.25">
      <c r="A69" s="4" t="s">
        <v>170</v>
      </c>
      <c r="B69" s="59"/>
      <c r="C69" s="59"/>
      <c r="F69" s="109"/>
    </row>
    <row r="70" spans="1:6" x14ac:dyDescent="0.25">
      <c r="A70" s="44" t="s">
        <v>171</v>
      </c>
      <c r="B70" s="58">
        <v>0</v>
      </c>
      <c r="C70" s="58"/>
      <c r="F70" s="109"/>
    </row>
    <row r="71" spans="1:6" x14ac:dyDescent="0.25">
      <c r="A71" s="6" t="s">
        <v>324</v>
      </c>
      <c r="B71" s="58">
        <v>1</v>
      </c>
      <c r="C71" s="58"/>
      <c r="F71" s="109"/>
    </row>
    <row r="72" spans="1:6" x14ac:dyDescent="0.25">
      <c r="A72" s="6" t="s">
        <v>303</v>
      </c>
      <c r="B72" s="58">
        <v>2</v>
      </c>
      <c r="C72" s="58"/>
      <c r="F72" s="109"/>
    </row>
    <row r="73" spans="1:6" x14ac:dyDescent="0.25">
      <c r="A73" s="6" t="s">
        <v>304</v>
      </c>
      <c r="B73" s="58">
        <v>3</v>
      </c>
      <c r="C73" s="58"/>
      <c r="F73" s="109"/>
    </row>
    <row r="74" spans="1:6" x14ac:dyDescent="0.25">
      <c r="A74" s="10" t="s">
        <v>305</v>
      </c>
      <c r="B74" s="58">
        <v>4</v>
      </c>
      <c r="C74" s="58"/>
      <c r="F74" s="109"/>
    </row>
    <row r="75" spans="1:6" x14ac:dyDescent="0.25">
      <c r="A75" s="10" t="s">
        <v>306</v>
      </c>
      <c r="B75" s="58">
        <v>5</v>
      </c>
      <c r="C75" s="58"/>
      <c r="F75" s="109"/>
    </row>
    <row r="76" spans="1:6" x14ac:dyDescent="0.25">
      <c r="A76" s="10" t="s">
        <v>307</v>
      </c>
      <c r="B76" s="58">
        <v>6</v>
      </c>
      <c r="C76" s="58"/>
      <c r="F76" s="109"/>
    </row>
    <row r="77" spans="1:6" x14ac:dyDescent="0.25">
      <c r="A77" s="10" t="s">
        <v>308</v>
      </c>
      <c r="B77" s="58">
        <v>7</v>
      </c>
      <c r="C77" s="58"/>
      <c r="F77" s="109"/>
    </row>
    <row r="78" spans="1:6" x14ac:dyDescent="0.25">
      <c r="A78" s="10" t="s">
        <v>309</v>
      </c>
      <c r="B78" s="58">
        <v>8</v>
      </c>
      <c r="C78" s="58"/>
      <c r="F78" s="109"/>
    </row>
    <row r="79" spans="1:6" x14ac:dyDescent="0.25">
      <c r="A79" s="10" t="s">
        <v>149</v>
      </c>
      <c r="B79" s="58" t="s">
        <v>53</v>
      </c>
      <c r="C79" s="58"/>
      <c r="F79" s="109"/>
    </row>
    <row r="80" spans="1:6" x14ac:dyDescent="0.25">
      <c r="A80" s="4" t="s">
        <v>172</v>
      </c>
      <c r="B80" s="56"/>
      <c r="C80" s="56"/>
      <c r="F80" s="109"/>
    </row>
    <row r="81" spans="1:6" x14ac:dyDescent="0.25">
      <c r="A81" s="6" t="s">
        <v>297</v>
      </c>
      <c r="B81" s="56">
        <v>0</v>
      </c>
      <c r="C81" s="56"/>
      <c r="F81" s="109"/>
    </row>
    <row r="82" spans="1:6" x14ac:dyDescent="0.25">
      <c r="A82" s="10" t="s">
        <v>288</v>
      </c>
      <c r="B82" s="58">
        <v>1</v>
      </c>
      <c r="C82" s="58"/>
      <c r="F82" s="109"/>
    </row>
    <row r="83" spans="1:6" x14ac:dyDescent="0.25">
      <c r="A83" s="6" t="s">
        <v>149</v>
      </c>
      <c r="B83" s="58" t="s">
        <v>53</v>
      </c>
      <c r="C83" s="58"/>
      <c r="F83" s="109"/>
    </row>
    <row r="84" spans="1:6" x14ac:dyDescent="0.25">
      <c r="A84" s="4" t="s">
        <v>173</v>
      </c>
      <c r="B84" s="56"/>
      <c r="C84" s="56"/>
      <c r="F84" s="109"/>
    </row>
    <row r="85" spans="1:6" x14ac:dyDescent="0.25">
      <c r="A85" s="44" t="s">
        <v>51</v>
      </c>
      <c r="B85" s="56" t="s">
        <v>45</v>
      </c>
      <c r="C85" s="56"/>
      <c r="F85" s="109"/>
    </row>
    <row r="86" spans="1:6" x14ac:dyDescent="0.25">
      <c r="A86" s="6" t="s">
        <v>316</v>
      </c>
      <c r="B86" s="56" t="s">
        <v>1</v>
      </c>
      <c r="C86" s="56"/>
      <c r="F86" s="109"/>
    </row>
    <row r="87" spans="1:6" x14ac:dyDescent="0.25">
      <c r="A87" s="6" t="s">
        <v>174</v>
      </c>
      <c r="B87" s="56" t="s">
        <v>2</v>
      </c>
      <c r="C87" s="56"/>
      <c r="F87" s="109"/>
    </row>
    <row r="88" spans="1:6" x14ac:dyDescent="0.25">
      <c r="A88" s="6" t="s">
        <v>175</v>
      </c>
      <c r="B88" s="56" t="s">
        <v>3</v>
      </c>
      <c r="C88" s="56"/>
      <c r="F88" s="109"/>
    </row>
    <row r="89" spans="1:6" x14ac:dyDescent="0.25">
      <c r="A89" s="6" t="s">
        <v>176</v>
      </c>
      <c r="B89" s="56" t="s">
        <v>4</v>
      </c>
      <c r="C89" s="56"/>
      <c r="F89" s="109"/>
    </row>
    <row r="90" spans="1:6" x14ac:dyDescent="0.25">
      <c r="A90" s="10" t="s">
        <v>177</v>
      </c>
      <c r="B90" s="56" t="s">
        <v>5</v>
      </c>
      <c r="C90" s="56"/>
      <c r="F90" s="109"/>
    </row>
    <row r="91" spans="1:6" x14ac:dyDescent="0.25">
      <c r="A91" s="10" t="s">
        <v>178</v>
      </c>
      <c r="B91" s="56" t="s">
        <v>6</v>
      </c>
      <c r="C91" s="56"/>
      <c r="F91" s="109"/>
    </row>
    <row r="92" spans="1:6" x14ac:dyDescent="0.25">
      <c r="A92" s="10" t="s">
        <v>179</v>
      </c>
      <c r="B92" s="56" t="s">
        <v>7</v>
      </c>
      <c r="C92" s="56"/>
      <c r="F92" s="109"/>
    </row>
    <row r="93" spans="1:6" x14ac:dyDescent="0.25">
      <c r="A93" s="10" t="s">
        <v>180</v>
      </c>
      <c r="B93" s="56" t="s">
        <v>8</v>
      </c>
      <c r="C93" s="56"/>
      <c r="F93" s="109"/>
    </row>
    <row r="94" spans="1:6" x14ac:dyDescent="0.25">
      <c r="A94" s="10" t="s">
        <v>181</v>
      </c>
      <c r="B94" s="56" t="s">
        <v>9</v>
      </c>
      <c r="C94" s="56"/>
      <c r="F94" s="109"/>
    </row>
    <row r="95" spans="1:6" x14ac:dyDescent="0.25">
      <c r="A95" s="10" t="s">
        <v>182</v>
      </c>
      <c r="B95" s="56" t="s">
        <v>10</v>
      </c>
      <c r="C95" s="56"/>
      <c r="F95" s="109"/>
    </row>
    <row r="96" spans="1:6" x14ac:dyDescent="0.25">
      <c r="A96" s="10" t="s">
        <v>183</v>
      </c>
      <c r="B96" s="56" t="s">
        <v>11</v>
      </c>
      <c r="C96" s="56"/>
      <c r="F96" s="109"/>
    </row>
    <row r="97" spans="1:6" x14ac:dyDescent="0.25">
      <c r="A97" s="10" t="s">
        <v>184</v>
      </c>
      <c r="B97" s="56" t="s">
        <v>12</v>
      </c>
      <c r="C97" s="56"/>
      <c r="F97" s="109"/>
    </row>
    <row r="98" spans="1:6" x14ac:dyDescent="0.25">
      <c r="A98" s="10" t="s">
        <v>185</v>
      </c>
      <c r="B98" s="56" t="s">
        <v>13</v>
      </c>
      <c r="C98" s="56"/>
      <c r="F98" s="109"/>
    </row>
    <row r="99" spans="1:6" x14ac:dyDescent="0.25">
      <c r="A99" s="10" t="s">
        <v>149</v>
      </c>
      <c r="B99" s="58" t="s">
        <v>54</v>
      </c>
      <c r="C99" s="58"/>
      <c r="F99" s="109"/>
    </row>
    <row r="100" spans="1:6" x14ac:dyDescent="0.25">
      <c r="A100" s="4" t="s">
        <v>141</v>
      </c>
      <c r="B100" s="56"/>
      <c r="C100" s="56"/>
      <c r="F100" s="109"/>
    </row>
    <row r="101" spans="1:6" x14ac:dyDescent="0.25">
      <c r="A101" s="10" t="s">
        <v>80</v>
      </c>
      <c r="B101" s="56" t="s">
        <v>1</v>
      </c>
      <c r="C101" s="56"/>
      <c r="F101" s="109"/>
    </row>
    <row r="102" spans="1:6" x14ac:dyDescent="0.25">
      <c r="A102" s="10" t="s">
        <v>83</v>
      </c>
      <c r="B102" s="56" t="s">
        <v>2</v>
      </c>
      <c r="C102" s="56"/>
      <c r="F102" s="109"/>
    </row>
    <row r="103" spans="1:6" x14ac:dyDescent="0.25">
      <c r="A103" s="10" t="s">
        <v>92</v>
      </c>
      <c r="B103" s="56" t="s">
        <v>3</v>
      </c>
      <c r="C103" s="56"/>
      <c r="F103" s="109"/>
    </row>
    <row r="104" spans="1:6" x14ac:dyDescent="0.25">
      <c r="A104" s="10" t="s">
        <v>317</v>
      </c>
      <c r="B104" s="56" t="s">
        <v>4</v>
      </c>
      <c r="C104" s="56"/>
      <c r="F104" s="109"/>
    </row>
    <row r="105" spans="1:6" x14ac:dyDescent="0.25">
      <c r="A105" s="10" t="s">
        <v>93</v>
      </c>
      <c r="B105" s="56" t="s">
        <v>5</v>
      </c>
      <c r="C105" s="56"/>
      <c r="F105" s="109"/>
    </row>
    <row r="106" spans="1:6" x14ac:dyDescent="0.25">
      <c r="A106" s="10" t="s">
        <v>94</v>
      </c>
      <c r="B106" s="56" t="s">
        <v>6</v>
      </c>
      <c r="C106" s="56"/>
      <c r="F106" s="109"/>
    </row>
    <row r="107" spans="1:6" x14ac:dyDescent="0.25">
      <c r="A107" s="10" t="s">
        <v>84</v>
      </c>
      <c r="B107" s="56" t="s">
        <v>7</v>
      </c>
      <c r="C107" s="56"/>
      <c r="F107" s="109"/>
    </row>
    <row r="108" spans="1:6" x14ac:dyDescent="0.25">
      <c r="A108" s="10" t="s">
        <v>81</v>
      </c>
      <c r="B108" s="56" t="s">
        <v>8</v>
      </c>
      <c r="C108" s="56"/>
      <c r="F108" s="109"/>
    </row>
    <row r="109" spans="1:6" x14ac:dyDescent="0.25">
      <c r="A109" s="10" t="s">
        <v>82</v>
      </c>
      <c r="B109" s="56" t="s">
        <v>9</v>
      </c>
      <c r="C109" s="56"/>
      <c r="F109" s="109"/>
    </row>
    <row r="110" spans="1:6" x14ac:dyDescent="0.25">
      <c r="A110" s="10" t="s">
        <v>95</v>
      </c>
      <c r="B110" s="56" t="s">
        <v>10</v>
      </c>
      <c r="C110" s="56"/>
      <c r="F110" s="109"/>
    </row>
    <row r="111" spans="1:6" x14ac:dyDescent="0.25">
      <c r="A111" s="10" t="s">
        <v>87</v>
      </c>
      <c r="B111" s="56" t="s">
        <v>11</v>
      </c>
      <c r="C111" s="56"/>
      <c r="F111" s="109"/>
    </row>
    <row r="112" spans="1:6" x14ac:dyDescent="0.25">
      <c r="A112" s="10" t="s">
        <v>86</v>
      </c>
      <c r="B112" s="56" t="s">
        <v>12</v>
      </c>
      <c r="C112" s="56"/>
      <c r="F112" s="109"/>
    </row>
    <row r="113" spans="1:6" x14ac:dyDescent="0.25">
      <c r="A113" s="10" t="s">
        <v>85</v>
      </c>
      <c r="B113" s="56" t="s">
        <v>13</v>
      </c>
      <c r="C113" s="56"/>
      <c r="F113" s="109"/>
    </row>
    <row r="114" spans="1:6" x14ac:dyDescent="0.25">
      <c r="A114" s="10" t="s">
        <v>275</v>
      </c>
      <c r="B114" s="56" t="s">
        <v>54</v>
      </c>
      <c r="C114" s="56"/>
      <c r="F114" s="109"/>
    </row>
    <row r="115" spans="1:6" x14ac:dyDescent="0.25">
      <c r="A115" s="4" t="s">
        <v>186</v>
      </c>
      <c r="B115" s="56"/>
      <c r="C115" s="56"/>
      <c r="F115" s="109"/>
    </row>
    <row r="116" spans="1:6" x14ac:dyDescent="0.25">
      <c r="A116" s="10" t="s">
        <v>30</v>
      </c>
      <c r="B116" s="56" t="s">
        <v>1</v>
      </c>
      <c r="C116" s="56"/>
      <c r="F116" s="109"/>
    </row>
    <row r="117" spans="1:6" x14ac:dyDescent="0.25">
      <c r="A117" s="10" t="s">
        <v>31</v>
      </c>
      <c r="B117" s="56" t="s">
        <v>2</v>
      </c>
      <c r="C117" s="56"/>
      <c r="F117" s="109"/>
    </row>
    <row r="118" spans="1:6" x14ac:dyDescent="0.25">
      <c r="A118" s="10" t="s">
        <v>69</v>
      </c>
      <c r="B118" s="56" t="s">
        <v>3</v>
      </c>
      <c r="C118" s="56"/>
      <c r="F118" s="109"/>
    </row>
    <row r="119" spans="1:6" x14ac:dyDescent="0.25">
      <c r="A119" s="10" t="s">
        <v>237</v>
      </c>
      <c r="B119" s="56" t="s">
        <v>4</v>
      </c>
      <c r="C119" s="56"/>
      <c r="F119" s="109"/>
    </row>
    <row r="120" spans="1:6" x14ac:dyDescent="0.25">
      <c r="A120" s="10" t="s">
        <v>96</v>
      </c>
      <c r="B120" s="56" t="s">
        <v>5</v>
      </c>
      <c r="C120" s="56"/>
      <c r="F120" s="109"/>
    </row>
    <row r="121" spans="1:6" x14ac:dyDescent="0.25">
      <c r="A121" s="10" t="s">
        <v>52</v>
      </c>
      <c r="B121" s="56" t="s">
        <v>6</v>
      </c>
      <c r="C121" s="56"/>
      <c r="F121" s="109"/>
    </row>
    <row r="122" spans="1:6" x14ac:dyDescent="0.25">
      <c r="A122" s="10" t="s">
        <v>318</v>
      </c>
      <c r="B122" s="56" t="s">
        <v>7</v>
      </c>
      <c r="C122" s="56"/>
      <c r="F122" s="109"/>
    </row>
    <row r="123" spans="1:6" x14ac:dyDescent="0.25">
      <c r="A123" s="10" t="s">
        <v>198</v>
      </c>
      <c r="B123" s="56" t="s">
        <v>8</v>
      </c>
      <c r="C123" s="56"/>
      <c r="F123" s="109"/>
    </row>
    <row r="124" spans="1:6" x14ac:dyDescent="0.25">
      <c r="A124" s="10" t="s">
        <v>74</v>
      </c>
      <c r="B124" s="56" t="s">
        <v>9</v>
      </c>
      <c r="C124" s="56"/>
      <c r="F124" s="109"/>
    </row>
    <row r="125" spans="1:6" x14ac:dyDescent="0.25">
      <c r="A125" s="10" t="s">
        <v>75</v>
      </c>
      <c r="B125" s="56" t="s">
        <v>10</v>
      </c>
      <c r="C125" s="56"/>
      <c r="F125" s="109"/>
    </row>
    <row r="126" spans="1:6" x14ac:dyDescent="0.25">
      <c r="A126" s="10" t="s">
        <v>76</v>
      </c>
      <c r="B126" s="56" t="s">
        <v>11</v>
      </c>
      <c r="C126" s="56"/>
      <c r="F126" s="109"/>
    </row>
    <row r="127" spans="1:6" x14ac:dyDescent="0.25">
      <c r="A127" s="10" t="s">
        <v>199</v>
      </c>
      <c r="B127" s="56" t="s">
        <v>12</v>
      </c>
      <c r="C127" s="56"/>
      <c r="F127" s="109"/>
    </row>
    <row r="128" spans="1:6" x14ac:dyDescent="0.25">
      <c r="A128" s="10" t="s">
        <v>97</v>
      </c>
      <c r="B128" s="56" t="s">
        <v>13</v>
      </c>
      <c r="C128" s="56"/>
      <c r="F128" s="109"/>
    </row>
    <row r="129" spans="1:6" x14ac:dyDescent="0.25">
      <c r="A129" s="10" t="s">
        <v>98</v>
      </c>
      <c r="B129" s="56" t="s">
        <v>14</v>
      </c>
      <c r="C129" s="56"/>
      <c r="F129" s="109"/>
    </row>
    <row r="130" spans="1:6" x14ac:dyDescent="0.25">
      <c r="A130" s="10" t="s">
        <v>200</v>
      </c>
      <c r="B130" s="56" t="s">
        <v>15</v>
      </c>
      <c r="C130" s="56"/>
      <c r="F130" s="109"/>
    </row>
    <row r="131" spans="1:6" x14ac:dyDescent="0.25">
      <c r="A131" s="10" t="s">
        <v>201</v>
      </c>
      <c r="B131" s="56" t="s">
        <v>16</v>
      </c>
      <c r="C131" s="56"/>
      <c r="F131" s="109"/>
    </row>
    <row r="132" spans="1:6" x14ac:dyDescent="0.25">
      <c r="A132" s="10" t="s">
        <v>202</v>
      </c>
      <c r="B132" s="56" t="s">
        <v>17</v>
      </c>
      <c r="C132" s="56"/>
      <c r="F132" s="109"/>
    </row>
    <row r="133" spans="1:6" x14ac:dyDescent="0.25">
      <c r="A133" s="10" t="s">
        <v>77</v>
      </c>
      <c r="B133" s="56" t="s">
        <v>18</v>
      </c>
      <c r="C133" s="56"/>
      <c r="F133" s="109"/>
    </row>
    <row r="134" spans="1:6" x14ac:dyDescent="0.25">
      <c r="A134" s="10" t="s">
        <v>78</v>
      </c>
      <c r="B134" s="56" t="s">
        <v>19</v>
      </c>
      <c r="C134" s="56"/>
      <c r="F134" s="109"/>
    </row>
    <row r="135" spans="1:6" x14ac:dyDescent="0.25">
      <c r="A135" s="10" t="s">
        <v>79</v>
      </c>
      <c r="B135" s="56" t="s">
        <v>20</v>
      </c>
      <c r="C135" s="56"/>
      <c r="F135" s="109"/>
    </row>
    <row r="136" spans="1:6" x14ac:dyDescent="0.25">
      <c r="A136" s="10" t="s">
        <v>203</v>
      </c>
      <c r="B136" s="56" t="s">
        <v>21</v>
      </c>
      <c r="C136" s="56"/>
      <c r="F136" s="109"/>
    </row>
    <row r="137" spans="1:6" x14ac:dyDescent="0.25">
      <c r="A137" s="10" t="s">
        <v>70</v>
      </c>
      <c r="B137" s="56" t="s">
        <v>22</v>
      </c>
      <c r="C137" s="56"/>
      <c r="F137" s="109"/>
    </row>
    <row r="138" spans="1:6" x14ac:dyDescent="0.25">
      <c r="A138" s="10" t="s">
        <v>71</v>
      </c>
      <c r="B138" s="56" t="s">
        <v>23</v>
      </c>
      <c r="C138" s="56"/>
      <c r="F138" s="109"/>
    </row>
    <row r="139" spans="1:6" x14ac:dyDescent="0.25">
      <c r="A139" s="10" t="s">
        <v>72</v>
      </c>
      <c r="B139" s="56" t="s">
        <v>24</v>
      </c>
      <c r="C139" s="56"/>
      <c r="F139" s="109"/>
    </row>
    <row r="140" spans="1:6" x14ac:dyDescent="0.25">
      <c r="A140" s="10" t="s">
        <v>73</v>
      </c>
      <c r="B140" s="56" t="s">
        <v>25</v>
      </c>
      <c r="C140" s="56"/>
      <c r="F140" s="109"/>
    </row>
    <row r="141" spans="1:6" x14ac:dyDescent="0.25">
      <c r="A141" s="10" t="s">
        <v>149</v>
      </c>
      <c r="B141" s="56" t="s">
        <v>54</v>
      </c>
      <c r="C141" s="56"/>
      <c r="F141" s="109"/>
    </row>
    <row r="142" spans="1:6" x14ac:dyDescent="0.25">
      <c r="A142" s="4" t="s">
        <v>187</v>
      </c>
      <c r="B142" s="59"/>
      <c r="C142" s="59"/>
      <c r="F142" s="109"/>
    </row>
    <row r="143" spans="1:6" x14ac:dyDescent="0.25">
      <c r="A143" s="6" t="s">
        <v>25</v>
      </c>
      <c r="B143" s="58" t="s">
        <v>29</v>
      </c>
      <c r="C143" s="58"/>
      <c r="F143" s="109"/>
    </row>
    <row r="144" spans="1:6" x14ac:dyDescent="0.25">
      <c r="A144" s="6" t="s">
        <v>50</v>
      </c>
      <c r="B144" s="58">
        <v>2</v>
      </c>
      <c r="C144" s="58"/>
      <c r="F144" s="109"/>
    </row>
    <row r="145" spans="1:6" x14ac:dyDescent="0.25">
      <c r="A145" s="6" t="s">
        <v>326</v>
      </c>
      <c r="B145" s="58">
        <v>3</v>
      </c>
      <c r="C145" s="58"/>
      <c r="F145" s="109"/>
    </row>
    <row r="146" spans="1:6" x14ac:dyDescent="0.25">
      <c r="A146" s="6" t="s">
        <v>59</v>
      </c>
      <c r="B146" s="58">
        <v>4</v>
      </c>
      <c r="C146" s="58"/>
      <c r="F146" s="109"/>
    </row>
    <row r="147" spans="1:6" x14ac:dyDescent="0.25">
      <c r="A147" s="6" t="s">
        <v>57</v>
      </c>
      <c r="B147" s="58">
        <v>5</v>
      </c>
      <c r="C147" s="58"/>
      <c r="F147" s="109"/>
    </row>
    <row r="148" spans="1:6" x14ac:dyDescent="0.25">
      <c r="A148" s="6" t="s">
        <v>58</v>
      </c>
      <c r="B148" s="58">
        <v>6</v>
      </c>
      <c r="C148" s="58"/>
      <c r="F148" s="109"/>
    </row>
    <row r="149" spans="1:6" x14ac:dyDescent="0.25">
      <c r="A149" s="6" t="s">
        <v>149</v>
      </c>
      <c r="B149" s="58" t="s">
        <v>53</v>
      </c>
      <c r="C149" s="58"/>
      <c r="F149" s="109"/>
    </row>
    <row r="150" spans="1:6" x14ac:dyDescent="0.25">
      <c r="A150" s="4" t="s">
        <v>188</v>
      </c>
      <c r="F150" s="109"/>
    </row>
    <row r="151" spans="1:6" x14ac:dyDescent="0.25">
      <c r="A151" s="6" t="s">
        <v>319</v>
      </c>
      <c r="B151" s="58">
        <v>1</v>
      </c>
      <c r="C151" s="58"/>
      <c r="F151" s="109"/>
    </row>
    <row r="152" spans="1:6" x14ac:dyDescent="0.25">
      <c r="A152" s="6" t="s">
        <v>56</v>
      </c>
      <c r="B152" s="58">
        <v>2</v>
      </c>
      <c r="C152" s="58"/>
      <c r="F152" s="109"/>
    </row>
    <row r="153" spans="1:6" x14ac:dyDescent="0.25">
      <c r="A153" s="6" t="s">
        <v>149</v>
      </c>
      <c r="B153" s="58" t="s">
        <v>53</v>
      </c>
      <c r="C153" s="58"/>
      <c r="F153" s="109"/>
    </row>
    <row r="154" spans="1:6" x14ac:dyDescent="0.25">
      <c r="A154" s="52" t="s">
        <v>197</v>
      </c>
      <c r="B154" s="59"/>
      <c r="C154" s="59"/>
      <c r="F154" s="109"/>
    </row>
    <row r="155" spans="1:6" x14ac:dyDescent="0.25">
      <c r="A155" s="7" t="s">
        <v>189</v>
      </c>
      <c r="B155" s="56" t="s">
        <v>1</v>
      </c>
      <c r="C155" s="56"/>
      <c r="F155" s="109"/>
    </row>
    <row r="156" spans="1:6" x14ac:dyDescent="0.25">
      <c r="A156" s="7" t="s">
        <v>60</v>
      </c>
      <c r="B156" s="56" t="s">
        <v>2</v>
      </c>
      <c r="C156" s="56"/>
      <c r="F156" s="109"/>
    </row>
    <row r="157" spans="1:6" x14ac:dyDescent="0.25">
      <c r="A157" s="7" t="s">
        <v>61</v>
      </c>
      <c r="B157" s="56" t="s">
        <v>3</v>
      </c>
      <c r="C157" s="56"/>
      <c r="F157" s="109"/>
    </row>
    <row r="158" spans="1:6" x14ac:dyDescent="0.25">
      <c r="A158" s="7" t="s">
        <v>62</v>
      </c>
      <c r="B158" s="56" t="s">
        <v>4</v>
      </c>
      <c r="C158" s="56"/>
      <c r="F158" s="109"/>
    </row>
    <row r="159" spans="1:6" x14ac:dyDescent="0.25">
      <c r="A159" s="7" t="s">
        <v>63</v>
      </c>
      <c r="B159" s="56" t="s">
        <v>5</v>
      </c>
      <c r="C159" s="56"/>
      <c r="F159" s="109"/>
    </row>
    <row r="160" spans="1:6" x14ac:dyDescent="0.25">
      <c r="A160" s="7" t="s">
        <v>64</v>
      </c>
      <c r="B160" s="56" t="s">
        <v>6</v>
      </c>
      <c r="C160" s="56"/>
      <c r="F160" s="109"/>
    </row>
    <row r="161" spans="1:6" x14ac:dyDescent="0.25">
      <c r="A161" s="7" t="s">
        <v>65</v>
      </c>
      <c r="B161" s="56" t="s">
        <v>7</v>
      </c>
      <c r="C161" s="56"/>
      <c r="F161" s="109"/>
    </row>
    <row r="162" spans="1:6" x14ac:dyDescent="0.25">
      <c r="A162" s="7" t="s">
        <v>66</v>
      </c>
      <c r="B162" s="56" t="s">
        <v>8</v>
      </c>
      <c r="C162" s="56"/>
      <c r="F162" s="109"/>
    </row>
    <row r="163" spans="1:6" x14ac:dyDescent="0.25">
      <c r="A163" s="7" t="s">
        <v>67</v>
      </c>
      <c r="B163" s="56" t="s">
        <v>9</v>
      </c>
      <c r="C163" s="56"/>
      <c r="F163" s="109"/>
    </row>
    <row r="164" spans="1:6" x14ac:dyDescent="0.25">
      <c r="A164" s="7" t="s">
        <v>68</v>
      </c>
      <c r="B164" s="56" t="s">
        <v>10</v>
      </c>
      <c r="C164" s="56"/>
      <c r="F164" s="109"/>
    </row>
    <row r="165" spans="1:6" x14ac:dyDescent="0.25">
      <c r="A165" s="7" t="s">
        <v>149</v>
      </c>
      <c r="B165" s="56" t="s">
        <v>54</v>
      </c>
      <c r="C165" s="56"/>
      <c r="F165" s="109"/>
    </row>
    <row r="166" spans="1:6" x14ac:dyDescent="0.25">
      <c r="A166" s="4" t="s">
        <v>143</v>
      </c>
      <c r="B166" s="58"/>
      <c r="C166" s="58"/>
      <c r="F166" s="109"/>
    </row>
    <row r="167" spans="1:6" x14ac:dyDescent="0.25">
      <c r="A167" s="6" t="s">
        <v>320</v>
      </c>
      <c r="B167" s="58">
        <v>1</v>
      </c>
      <c r="C167" s="58"/>
      <c r="F167" s="109"/>
    </row>
    <row r="168" spans="1:6" x14ac:dyDescent="0.25">
      <c r="A168" s="6" t="s">
        <v>190</v>
      </c>
      <c r="B168" s="58">
        <v>2</v>
      </c>
      <c r="C168" s="58"/>
      <c r="F168" s="109"/>
    </row>
    <row r="169" spans="1:6" x14ac:dyDescent="0.25">
      <c r="A169" s="6" t="s">
        <v>191</v>
      </c>
      <c r="B169" s="58">
        <v>3</v>
      </c>
      <c r="C169" s="58"/>
      <c r="F169" s="109"/>
    </row>
    <row r="170" spans="1:6" x14ac:dyDescent="0.25">
      <c r="A170" s="6" t="s">
        <v>192</v>
      </c>
      <c r="B170" s="58">
        <v>4</v>
      </c>
      <c r="C170" s="58"/>
      <c r="F170" s="109"/>
    </row>
    <row r="171" spans="1:6" x14ac:dyDescent="0.25">
      <c r="A171" s="6" t="s">
        <v>193</v>
      </c>
      <c r="B171" s="58">
        <v>5</v>
      </c>
      <c r="C171" s="58"/>
      <c r="F171" s="109"/>
    </row>
    <row r="172" spans="1:6" x14ac:dyDescent="0.25">
      <c r="A172" s="6" t="s">
        <v>194</v>
      </c>
      <c r="B172" s="58">
        <v>6</v>
      </c>
      <c r="C172" s="58"/>
      <c r="F172" s="109"/>
    </row>
    <row r="173" spans="1:6" x14ac:dyDescent="0.25">
      <c r="A173" s="52" t="s">
        <v>195</v>
      </c>
      <c r="B173" s="58"/>
      <c r="C173" s="58"/>
      <c r="F173" s="109"/>
    </row>
    <row r="174" spans="1:6" x14ac:dyDescent="0.25">
      <c r="A174" s="10" t="s">
        <v>296</v>
      </c>
      <c r="B174" s="58">
        <v>1</v>
      </c>
      <c r="C174" s="58"/>
      <c r="F174" s="109"/>
    </row>
    <row r="175" spans="1:6" x14ac:dyDescent="0.25">
      <c r="A175" s="6" t="s">
        <v>149</v>
      </c>
      <c r="B175" s="58" t="s">
        <v>53</v>
      </c>
      <c r="C175" s="58"/>
      <c r="F175" s="109"/>
    </row>
    <row r="176" spans="1:6" x14ac:dyDescent="0.25">
      <c r="A176" s="4" t="s">
        <v>196</v>
      </c>
      <c r="B176" s="58"/>
      <c r="C176" s="58"/>
      <c r="F176" s="109"/>
    </row>
    <row r="177" spans="1:6" x14ac:dyDescent="0.25">
      <c r="A177" s="6" t="s">
        <v>297</v>
      </c>
      <c r="B177" s="56" t="s">
        <v>45</v>
      </c>
      <c r="C177" s="56"/>
      <c r="F177" s="109"/>
    </row>
    <row r="178" spans="1:6" x14ac:dyDescent="0.25">
      <c r="A178" s="10" t="s">
        <v>321</v>
      </c>
      <c r="B178" s="56" t="s">
        <v>1</v>
      </c>
      <c r="C178" s="56"/>
      <c r="F178" s="109"/>
    </row>
    <row r="179" spans="1:6" ht="18.75" x14ac:dyDescent="0.25">
      <c r="A179" s="10" t="s">
        <v>239</v>
      </c>
      <c r="B179" s="56" t="s">
        <v>88</v>
      </c>
      <c r="C179" s="56"/>
      <c r="F179" s="109"/>
    </row>
    <row r="180" spans="1:6" x14ac:dyDescent="0.25">
      <c r="A180" s="10" t="s">
        <v>295</v>
      </c>
      <c r="B180" s="56" t="s">
        <v>3</v>
      </c>
      <c r="C180" s="56"/>
      <c r="F180" s="109"/>
    </row>
    <row r="181" spans="1:6" ht="21" customHeight="1" x14ac:dyDescent="0.25">
      <c r="A181" s="10" t="s">
        <v>240</v>
      </c>
      <c r="B181" s="56" t="s">
        <v>55</v>
      </c>
      <c r="C181" s="56"/>
      <c r="F181" s="109"/>
    </row>
    <row r="182" spans="1:6" x14ac:dyDescent="0.25">
      <c r="A182" s="4" t="s">
        <v>294</v>
      </c>
      <c r="B182" s="56"/>
      <c r="C182" s="56"/>
      <c r="F182" s="109"/>
    </row>
    <row r="183" spans="1:6" x14ac:dyDescent="0.25">
      <c r="A183" s="10" t="s">
        <v>298</v>
      </c>
      <c r="B183" s="56" t="s">
        <v>45</v>
      </c>
      <c r="C183" s="56"/>
      <c r="F183" s="109"/>
    </row>
    <row r="184" spans="1:6" ht="30" x14ac:dyDescent="0.25">
      <c r="A184" s="11" t="s">
        <v>347</v>
      </c>
      <c r="B184" s="56" t="s">
        <v>1</v>
      </c>
      <c r="C184" s="56"/>
      <c r="F184" s="109"/>
    </row>
    <row r="185" spans="1:6" ht="33.75" x14ac:dyDescent="0.25">
      <c r="A185" s="11" t="s">
        <v>348</v>
      </c>
      <c r="B185" s="56" t="s">
        <v>2</v>
      </c>
      <c r="C185" s="56"/>
      <c r="F185" s="109"/>
    </row>
    <row r="186" spans="1:6" ht="30" x14ac:dyDescent="0.25">
      <c r="A186" s="11" t="s">
        <v>346</v>
      </c>
      <c r="B186" s="56" t="s">
        <v>3</v>
      </c>
      <c r="C186" s="56"/>
      <c r="F186" s="109"/>
    </row>
    <row r="187" spans="1:6" ht="30" x14ac:dyDescent="0.25">
      <c r="A187" s="11" t="s">
        <v>349</v>
      </c>
      <c r="B187" s="56" t="s">
        <v>4</v>
      </c>
      <c r="C187" s="56"/>
      <c r="F187" s="109"/>
    </row>
    <row r="188" spans="1:6" ht="33.75" x14ac:dyDescent="0.25">
      <c r="A188" s="11" t="s">
        <v>350</v>
      </c>
      <c r="B188" s="56" t="s">
        <v>5</v>
      </c>
      <c r="C188" s="56"/>
      <c r="F188" s="109"/>
    </row>
    <row r="189" spans="1:6" ht="30" x14ac:dyDescent="0.25">
      <c r="A189" s="11" t="s">
        <v>345</v>
      </c>
      <c r="B189" s="56" t="s">
        <v>6</v>
      </c>
      <c r="C189" s="56"/>
      <c r="F189" s="109"/>
    </row>
    <row r="190" spans="1:6" x14ac:dyDescent="0.25">
      <c r="A190" s="11" t="s">
        <v>204</v>
      </c>
      <c r="B190" s="56" t="s">
        <v>287</v>
      </c>
      <c r="C190" s="56"/>
      <c r="F190" s="109"/>
    </row>
    <row r="191" spans="1:6" ht="30" x14ac:dyDescent="0.25">
      <c r="A191" s="11" t="s">
        <v>331</v>
      </c>
      <c r="B191" s="56" t="s">
        <v>8</v>
      </c>
      <c r="C191" s="56"/>
      <c r="F191" s="109"/>
    </row>
    <row r="192" spans="1:6" ht="33.75" x14ac:dyDescent="0.25">
      <c r="A192" s="11" t="s">
        <v>332</v>
      </c>
      <c r="B192" s="56" t="s">
        <v>9</v>
      </c>
      <c r="C192" s="56"/>
      <c r="F192" s="109"/>
    </row>
    <row r="193" spans="1:6" ht="30" x14ac:dyDescent="0.25">
      <c r="A193" s="11" t="s">
        <v>333</v>
      </c>
      <c r="B193" s="56" t="s">
        <v>10</v>
      </c>
      <c r="C193" s="56"/>
      <c r="F193" s="109"/>
    </row>
    <row r="194" spans="1:6" x14ac:dyDescent="0.25">
      <c r="A194" s="11" t="s">
        <v>330</v>
      </c>
      <c r="B194" s="56" t="s">
        <v>88</v>
      </c>
      <c r="C194" s="56"/>
      <c r="F194" s="109"/>
    </row>
    <row r="195" spans="1:6" ht="30" x14ac:dyDescent="0.25">
      <c r="A195" s="11" t="s">
        <v>208</v>
      </c>
      <c r="B195" s="56" t="s">
        <v>12</v>
      </c>
      <c r="C195" s="56"/>
      <c r="F195" s="109"/>
    </row>
    <row r="196" spans="1:6" ht="33" x14ac:dyDescent="0.25">
      <c r="A196" s="11" t="s">
        <v>210</v>
      </c>
      <c r="B196" s="56" t="s">
        <v>13</v>
      </c>
      <c r="C196" s="56"/>
      <c r="F196" s="109"/>
    </row>
    <row r="197" spans="1:6" ht="30" x14ac:dyDescent="0.25">
      <c r="A197" s="11" t="s">
        <v>209</v>
      </c>
      <c r="B197" s="56" t="s">
        <v>14</v>
      </c>
      <c r="C197" s="56"/>
      <c r="F197" s="109"/>
    </row>
    <row r="198" spans="1:6" x14ac:dyDescent="0.25">
      <c r="A198" s="11" t="s">
        <v>205</v>
      </c>
      <c r="B198" s="56" t="s">
        <v>15</v>
      </c>
      <c r="C198" s="56"/>
      <c r="F198" s="109"/>
    </row>
    <row r="199" spans="1:6" x14ac:dyDescent="0.25">
      <c r="A199" s="4" t="s">
        <v>206</v>
      </c>
      <c r="B199" s="58"/>
      <c r="C199" s="58"/>
      <c r="F199" s="109"/>
    </row>
    <row r="200" spans="1:6" x14ac:dyDescent="0.25">
      <c r="A200" s="44" t="s">
        <v>329</v>
      </c>
      <c r="B200" s="58">
        <v>0</v>
      </c>
      <c r="C200" s="58"/>
      <c r="F200" s="109"/>
    </row>
    <row r="201" spans="1:6" x14ac:dyDescent="0.25">
      <c r="A201" s="10" t="s">
        <v>327</v>
      </c>
      <c r="B201" s="58">
        <v>1</v>
      </c>
      <c r="C201" s="58"/>
      <c r="F201" s="109"/>
    </row>
    <row r="202" spans="1:6" x14ac:dyDescent="0.25">
      <c r="A202" s="11" t="s">
        <v>207</v>
      </c>
      <c r="B202" s="58">
        <v>2</v>
      </c>
      <c r="C202" s="58"/>
      <c r="F202" s="109"/>
    </row>
    <row r="203" spans="1:6" x14ac:dyDescent="0.25">
      <c r="A203" s="4" t="s">
        <v>293</v>
      </c>
      <c r="B203" s="58"/>
      <c r="C203" s="58"/>
      <c r="F203" s="109"/>
    </row>
    <row r="204" spans="1:6" x14ac:dyDescent="0.25">
      <c r="A204" s="10" t="s">
        <v>297</v>
      </c>
      <c r="B204" s="56" t="s">
        <v>45</v>
      </c>
      <c r="C204" s="56"/>
      <c r="F204" s="109"/>
    </row>
    <row r="205" spans="1:6" ht="30" x14ac:dyDescent="0.25">
      <c r="A205" s="11" t="s">
        <v>347</v>
      </c>
      <c r="B205" s="56" t="s">
        <v>1</v>
      </c>
      <c r="C205" s="56"/>
      <c r="F205" s="109"/>
    </row>
    <row r="206" spans="1:6" ht="30" x14ac:dyDescent="0.25">
      <c r="A206" s="11" t="s">
        <v>351</v>
      </c>
      <c r="B206" s="56" t="s">
        <v>2</v>
      </c>
      <c r="C206" s="56"/>
      <c r="F206" s="109"/>
    </row>
    <row r="207" spans="1:6" ht="30" x14ac:dyDescent="0.25">
      <c r="A207" s="11" t="s">
        <v>343</v>
      </c>
      <c r="B207" s="56" t="s">
        <v>3</v>
      </c>
      <c r="C207" s="56"/>
      <c r="F207" s="109"/>
    </row>
    <row r="208" spans="1:6" ht="30" x14ac:dyDescent="0.25">
      <c r="A208" s="11" t="s">
        <v>349</v>
      </c>
      <c r="B208" s="56" t="s">
        <v>4</v>
      </c>
      <c r="C208" s="56"/>
      <c r="F208" s="109"/>
    </row>
    <row r="209" spans="1:6" ht="33.75" x14ac:dyDescent="0.25">
      <c r="A209" s="11" t="s">
        <v>350</v>
      </c>
      <c r="B209" s="56" t="s">
        <v>5</v>
      </c>
      <c r="C209" s="56"/>
      <c r="F209" s="109"/>
    </row>
    <row r="210" spans="1:6" ht="30" x14ac:dyDescent="0.25">
      <c r="A210" s="11" t="s">
        <v>344</v>
      </c>
      <c r="B210" s="56" t="s">
        <v>6</v>
      </c>
      <c r="C210" s="56"/>
      <c r="F210" s="109"/>
    </row>
    <row r="211" spans="1:6" x14ac:dyDescent="0.25">
      <c r="A211" s="11" t="s">
        <v>211</v>
      </c>
      <c r="B211" s="56" t="s">
        <v>287</v>
      </c>
      <c r="C211" s="56"/>
      <c r="F211" s="109"/>
    </row>
    <row r="212" spans="1:6" ht="30" x14ac:dyDescent="0.25">
      <c r="A212" s="11" t="s">
        <v>331</v>
      </c>
      <c r="B212" s="56" t="s">
        <v>8</v>
      </c>
      <c r="C212" s="56"/>
      <c r="F212" s="109"/>
    </row>
    <row r="213" spans="1:6" ht="33.75" x14ac:dyDescent="0.25">
      <c r="A213" s="11" t="s">
        <v>332</v>
      </c>
      <c r="B213" s="56" t="s">
        <v>9</v>
      </c>
      <c r="C213" s="56"/>
      <c r="F213" s="109"/>
    </row>
    <row r="214" spans="1:6" ht="30" x14ac:dyDescent="0.25">
      <c r="A214" s="11" t="s">
        <v>333</v>
      </c>
      <c r="B214" s="56" t="s">
        <v>10</v>
      </c>
      <c r="C214" s="56"/>
      <c r="F214" s="109"/>
    </row>
    <row r="215" spans="1:6" x14ac:dyDescent="0.25">
      <c r="A215" s="11" t="s">
        <v>330</v>
      </c>
      <c r="B215" s="56" t="s">
        <v>88</v>
      </c>
      <c r="C215" s="56"/>
      <c r="F215" s="109"/>
    </row>
    <row r="216" spans="1:6" ht="30" x14ac:dyDescent="0.25">
      <c r="A216" s="11" t="s">
        <v>212</v>
      </c>
      <c r="B216" s="56" t="s">
        <v>12</v>
      </c>
      <c r="C216" s="56"/>
      <c r="F216" s="109"/>
    </row>
    <row r="217" spans="1:6" ht="30" x14ac:dyDescent="0.25">
      <c r="A217" s="11" t="s">
        <v>213</v>
      </c>
      <c r="B217" s="56" t="s">
        <v>13</v>
      </c>
      <c r="C217" s="56"/>
      <c r="F217" s="109"/>
    </row>
    <row r="218" spans="1:6" ht="30" x14ac:dyDescent="0.25">
      <c r="A218" s="11" t="s">
        <v>214</v>
      </c>
      <c r="B218" s="56" t="s">
        <v>14</v>
      </c>
      <c r="C218" s="56"/>
      <c r="F218" s="109"/>
    </row>
    <row r="219" spans="1:6" x14ac:dyDescent="0.25">
      <c r="A219" s="11" t="s">
        <v>205</v>
      </c>
      <c r="B219" s="56" t="s">
        <v>15</v>
      </c>
      <c r="C219" s="56"/>
      <c r="F219" s="109"/>
    </row>
    <row r="220" spans="1:6" x14ac:dyDescent="0.25">
      <c r="A220" s="4" t="s">
        <v>215</v>
      </c>
      <c r="B220" s="58"/>
      <c r="C220" s="58"/>
      <c r="F220" s="109"/>
    </row>
    <row r="221" spans="1:6" x14ac:dyDescent="0.25">
      <c r="A221" s="44" t="s">
        <v>328</v>
      </c>
      <c r="B221" s="58">
        <v>0</v>
      </c>
      <c r="C221" s="58"/>
      <c r="F221" s="109"/>
    </row>
    <row r="222" spans="1:6" x14ac:dyDescent="0.25">
      <c r="A222" s="10" t="s">
        <v>327</v>
      </c>
      <c r="B222" s="58">
        <v>1</v>
      </c>
      <c r="C222" s="58"/>
      <c r="F222" s="109"/>
    </row>
    <row r="223" spans="1:6" x14ac:dyDescent="0.25">
      <c r="A223" s="11" t="s">
        <v>207</v>
      </c>
      <c r="B223" s="58">
        <v>2</v>
      </c>
      <c r="C223" s="58"/>
      <c r="F223" s="109"/>
    </row>
    <row r="224" spans="1:6" x14ac:dyDescent="0.25">
      <c r="A224" s="4" t="s">
        <v>334</v>
      </c>
      <c r="B224" s="58"/>
      <c r="C224" s="58"/>
      <c r="F224" s="109"/>
    </row>
    <row r="225" spans="1:6" x14ac:dyDescent="0.25">
      <c r="A225" s="11" t="s">
        <v>336</v>
      </c>
      <c r="B225" s="58">
        <v>0</v>
      </c>
      <c r="C225" s="58"/>
      <c r="F225" s="109"/>
    </row>
    <row r="226" spans="1:6" x14ac:dyDescent="0.25">
      <c r="A226" s="11" t="s">
        <v>335</v>
      </c>
      <c r="B226" s="58">
        <v>1</v>
      </c>
      <c r="C226" s="58"/>
      <c r="F226" s="109"/>
    </row>
    <row r="227" spans="1:6" x14ac:dyDescent="0.25">
      <c r="A227" s="4" t="s">
        <v>216</v>
      </c>
      <c r="B227" s="59"/>
      <c r="C227" s="59"/>
      <c r="F227" s="109"/>
    </row>
    <row r="228" spans="1:6" x14ac:dyDescent="0.25">
      <c r="A228" s="12" t="s">
        <v>32</v>
      </c>
      <c r="B228" s="59"/>
      <c r="C228" s="59"/>
      <c r="F228" s="109"/>
    </row>
    <row r="229" spans="1:6" x14ac:dyDescent="0.25">
      <c r="A229" s="4" t="s">
        <v>217</v>
      </c>
      <c r="B229" s="59"/>
      <c r="C229" s="59"/>
      <c r="F229" s="109"/>
    </row>
    <row r="230" spans="1:6" x14ac:dyDescent="0.25">
      <c r="A230" s="7" t="s">
        <v>89</v>
      </c>
      <c r="B230" s="58">
        <v>1</v>
      </c>
      <c r="C230" s="58"/>
      <c r="F230" s="109"/>
    </row>
    <row r="231" spans="1:6" x14ac:dyDescent="0.25">
      <c r="A231" s="7" t="s">
        <v>90</v>
      </c>
      <c r="B231" s="58">
        <v>2</v>
      </c>
      <c r="C231" s="58"/>
      <c r="F231" s="109"/>
    </row>
    <row r="232" spans="1:6" ht="15.75" customHeight="1" x14ac:dyDescent="0.25">
      <c r="A232" s="7" t="s">
        <v>33</v>
      </c>
      <c r="B232" s="58">
        <v>3</v>
      </c>
      <c r="C232" s="58"/>
      <c r="F232" s="109"/>
    </row>
    <row r="233" spans="1:6" x14ac:dyDescent="0.25">
      <c r="A233" s="7" t="s">
        <v>34</v>
      </c>
      <c r="B233" s="58">
        <v>4</v>
      </c>
      <c r="C233" s="58"/>
      <c r="F233" s="109"/>
    </row>
    <row r="234" spans="1:6" x14ac:dyDescent="0.25">
      <c r="A234" s="7" t="s">
        <v>35</v>
      </c>
      <c r="B234" s="58">
        <v>5</v>
      </c>
      <c r="C234" s="58"/>
      <c r="F234" s="109"/>
    </row>
    <row r="235" spans="1:6" x14ac:dyDescent="0.25">
      <c r="A235" s="11" t="s">
        <v>322</v>
      </c>
      <c r="B235" s="58">
        <v>6</v>
      </c>
      <c r="C235" s="58"/>
      <c r="F235" s="109"/>
    </row>
    <row r="236" spans="1:6" x14ac:dyDescent="0.25">
      <c r="A236" s="7" t="s">
        <v>36</v>
      </c>
      <c r="B236" s="58">
        <v>7</v>
      </c>
      <c r="C236" s="58"/>
      <c r="F236" s="109"/>
    </row>
    <row r="237" spans="1:6" x14ac:dyDescent="0.25">
      <c r="A237" s="7" t="s">
        <v>37</v>
      </c>
      <c r="B237" s="58">
        <v>8</v>
      </c>
      <c r="C237" s="58"/>
      <c r="F237" s="109"/>
    </row>
    <row r="238" spans="1:6" x14ac:dyDescent="0.25">
      <c r="A238" s="7" t="s">
        <v>91</v>
      </c>
      <c r="B238" s="58">
        <v>9</v>
      </c>
      <c r="C238" s="58"/>
      <c r="F238" s="109"/>
    </row>
    <row r="239" spans="1:6" ht="18.75" x14ac:dyDescent="0.25">
      <c r="A239" s="104" t="s">
        <v>285</v>
      </c>
      <c r="B239" s="59"/>
      <c r="C239" s="59"/>
      <c r="F239" s="109"/>
    </row>
    <row r="240" spans="1:6" x14ac:dyDescent="0.25">
      <c r="A240" s="7" t="s">
        <v>297</v>
      </c>
      <c r="B240" s="58">
        <v>0</v>
      </c>
      <c r="C240" s="58"/>
      <c r="F240" s="109"/>
    </row>
    <row r="241" spans="1:6" x14ac:dyDescent="0.25">
      <c r="A241" s="7" t="s">
        <v>286</v>
      </c>
      <c r="B241" s="58">
        <v>1</v>
      </c>
      <c r="C241" s="58"/>
      <c r="F241" s="109"/>
    </row>
    <row r="242" spans="1:6" x14ac:dyDescent="0.25">
      <c r="A242" s="4" t="s">
        <v>219</v>
      </c>
      <c r="B242" s="59"/>
      <c r="C242" s="59"/>
      <c r="F242" s="109"/>
    </row>
    <row r="243" spans="1:6" x14ac:dyDescent="0.25">
      <c r="A243" s="7" t="s">
        <v>297</v>
      </c>
      <c r="B243" s="58">
        <v>0</v>
      </c>
      <c r="C243" s="58"/>
      <c r="F243" s="109"/>
    </row>
    <row r="244" spans="1:6" x14ac:dyDescent="0.25">
      <c r="A244" s="7" t="s">
        <v>218</v>
      </c>
      <c r="B244" s="58">
        <v>1</v>
      </c>
      <c r="C244" s="58"/>
      <c r="F244" s="109"/>
    </row>
    <row r="245" spans="1:6" x14ac:dyDescent="0.25">
      <c r="A245" s="4" t="s">
        <v>220</v>
      </c>
      <c r="B245" s="59"/>
      <c r="C245" s="59"/>
      <c r="F245" s="109"/>
    </row>
    <row r="246" spans="1:6" x14ac:dyDescent="0.25">
      <c r="A246" s="7" t="s">
        <v>221</v>
      </c>
      <c r="B246" s="58">
        <v>0</v>
      </c>
      <c r="C246" s="58"/>
      <c r="F246" s="109"/>
    </row>
    <row r="247" spans="1:6" x14ac:dyDescent="0.25">
      <c r="A247" s="7" t="s">
        <v>222</v>
      </c>
      <c r="B247" s="58">
        <v>1</v>
      </c>
      <c r="C247" s="58"/>
      <c r="F247" s="109"/>
    </row>
    <row r="248" spans="1:6" x14ac:dyDescent="0.25">
      <c r="A248" s="7" t="s">
        <v>223</v>
      </c>
      <c r="B248" s="58">
        <v>2</v>
      </c>
      <c r="C248" s="58"/>
      <c r="F248" s="109"/>
    </row>
    <row r="249" spans="1:6" x14ac:dyDescent="0.25">
      <c r="A249" s="7" t="s">
        <v>224</v>
      </c>
      <c r="B249" s="58">
        <v>3</v>
      </c>
      <c r="C249" s="58"/>
      <c r="F249" s="109"/>
    </row>
    <row r="250" spans="1:6" x14ac:dyDescent="0.25">
      <c r="A250" s="7" t="s">
        <v>225</v>
      </c>
      <c r="B250" s="58" t="s">
        <v>53</v>
      </c>
      <c r="C250" s="58"/>
      <c r="F250" s="109"/>
    </row>
    <row r="251" spans="1:6" x14ac:dyDescent="0.25">
      <c r="A251" s="4" t="s">
        <v>122</v>
      </c>
      <c r="B251" s="58"/>
      <c r="C251" s="58"/>
      <c r="F251" s="109"/>
    </row>
    <row r="252" spans="1:6" x14ac:dyDescent="0.25">
      <c r="A252" s="12" t="s">
        <v>44</v>
      </c>
      <c r="B252" s="58"/>
      <c r="C252" s="58"/>
      <c r="F252" s="109"/>
    </row>
    <row r="253" spans="1:6" x14ac:dyDescent="0.25">
      <c r="A253" s="4" t="s">
        <v>226</v>
      </c>
      <c r="B253" s="59"/>
      <c r="C253" s="59"/>
      <c r="F253" s="109"/>
    </row>
    <row r="254" spans="1:6" x14ac:dyDescent="0.25">
      <c r="A254" s="7" t="s">
        <v>227</v>
      </c>
      <c r="B254" s="58">
        <v>0</v>
      </c>
      <c r="C254" s="58"/>
      <c r="F254" s="109"/>
    </row>
    <row r="255" spans="1:6" x14ac:dyDescent="0.25">
      <c r="A255" s="7" t="s">
        <v>228</v>
      </c>
      <c r="B255" s="58">
        <v>1</v>
      </c>
      <c r="C255" s="58"/>
      <c r="F255" s="109"/>
    </row>
    <row r="256" spans="1:6" x14ac:dyDescent="0.25">
      <c r="A256" s="7" t="s">
        <v>149</v>
      </c>
      <c r="B256" s="58" t="s">
        <v>53</v>
      </c>
      <c r="C256" s="58"/>
      <c r="F256" s="109"/>
    </row>
    <row r="257" spans="1:6" x14ac:dyDescent="0.25">
      <c r="A257" s="4" t="s">
        <v>229</v>
      </c>
      <c r="B257" s="59"/>
      <c r="C257" s="59"/>
      <c r="F257" s="109"/>
    </row>
    <row r="258" spans="1:6" x14ac:dyDescent="0.25">
      <c r="A258" s="7" t="s">
        <v>230</v>
      </c>
      <c r="B258" s="58">
        <v>1</v>
      </c>
      <c r="C258" s="58"/>
      <c r="F258" s="109"/>
    </row>
    <row r="259" spans="1:6" x14ac:dyDescent="0.25">
      <c r="A259" s="7" t="s">
        <v>231</v>
      </c>
      <c r="B259" s="58">
        <v>2</v>
      </c>
      <c r="C259" s="58"/>
      <c r="F259" s="109"/>
    </row>
    <row r="260" spans="1:6" x14ac:dyDescent="0.25">
      <c r="A260" s="7" t="s">
        <v>232</v>
      </c>
      <c r="B260" s="58">
        <v>3</v>
      </c>
      <c r="C260" s="58"/>
      <c r="F260" s="109"/>
    </row>
    <row r="261" spans="1:6" x14ac:dyDescent="0.25">
      <c r="A261" s="7" t="s">
        <v>149</v>
      </c>
      <c r="B261" s="58" t="s">
        <v>53</v>
      </c>
      <c r="C261" s="58"/>
      <c r="F261" s="109"/>
    </row>
    <row r="262" spans="1:6" x14ac:dyDescent="0.25">
      <c r="A262" s="4" t="s">
        <v>125</v>
      </c>
      <c r="B262" s="59"/>
      <c r="C262" s="59"/>
      <c r="F262" s="109"/>
    </row>
    <row r="263" spans="1:6" x14ac:dyDescent="0.25">
      <c r="A263" s="7" t="s">
        <v>233</v>
      </c>
      <c r="B263" s="58">
        <v>1</v>
      </c>
      <c r="C263" s="58"/>
      <c r="F263" s="109"/>
    </row>
    <row r="264" spans="1:6" x14ac:dyDescent="0.25">
      <c r="A264" s="7" t="s">
        <v>323</v>
      </c>
      <c r="B264" s="58">
        <v>2</v>
      </c>
      <c r="C264" s="58"/>
      <c r="F264" s="109"/>
    </row>
    <row r="265" spans="1:6" x14ac:dyDescent="0.25">
      <c r="A265" s="7" t="s">
        <v>234</v>
      </c>
      <c r="B265" s="58">
        <v>3</v>
      </c>
      <c r="C265" s="58"/>
      <c r="F265" s="109"/>
    </row>
    <row r="266" spans="1:6" x14ac:dyDescent="0.25">
      <c r="A266" s="7" t="s">
        <v>235</v>
      </c>
      <c r="B266" s="58">
        <v>4</v>
      </c>
      <c r="C266" s="58"/>
      <c r="F266" s="109"/>
    </row>
    <row r="267" spans="1:6" x14ac:dyDescent="0.25">
      <c r="A267" s="7" t="s">
        <v>236</v>
      </c>
      <c r="B267" s="58">
        <v>5</v>
      </c>
      <c r="C267" s="58"/>
      <c r="F267" s="109"/>
    </row>
    <row r="268" spans="1:6" x14ac:dyDescent="0.25">
      <c r="A268" s="7" t="s">
        <v>149</v>
      </c>
      <c r="B268" s="58" t="s">
        <v>53</v>
      </c>
      <c r="C268" s="58"/>
      <c r="F268" s="109" t="s">
        <v>339</v>
      </c>
    </row>
  </sheetData>
  <sheetProtection algorithmName="SHA-512" hashValue="rTQjyTr2vDpNRwKTNOJPS7omSbOiD1MOLYRi3zGxJFXPDgz94UmSQ+WoYjMPkinIycAGAJ6nG4wetZNBeg+qfQ==" saltValue="4FGKFUxnrqAqmD3AM5Dv1A==" spinCount="100000" sheet="1" formatColumns="0" formatRows="0"/>
  <phoneticPr fontId="16" type="noConversion"/>
  <printOptions heading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19"/>
  <sheetViews>
    <sheetView showGridLines="0" workbookViewId="0">
      <selection activeCell="P34" sqref="P34"/>
    </sheetView>
  </sheetViews>
  <sheetFormatPr defaultRowHeight="15" x14ac:dyDescent="0.25"/>
  <cols>
    <col min="1" max="1" width="1.5703125" customWidth="1"/>
    <col min="2" max="2" width="7.85546875" customWidth="1"/>
    <col min="3" max="3" width="7.140625" customWidth="1"/>
  </cols>
  <sheetData>
    <row r="1" spans="2:17" ht="23.25" x14ac:dyDescent="0.35">
      <c r="B1" s="60" t="s">
        <v>289</v>
      </c>
      <c r="C1" s="105"/>
      <c r="D1" s="105"/>
      <c r="E1" s="105"/>
      <c r="F1" s="105"/>
    </row>
    <row r="2" spans="2:17" x14ac:dyDescent="0.25">
      <c r="B2" s="106" t="s">
        <v>290</v>
      </c>
      <c r="C2" s="105"/>
      <c r="D2" s="105"/>
      <c r="E2" s="105"/>
      <c r="F2" s="105"/>
    </row>
    <row r="3" spans="2:17" ht="7.5" customHeight="1" thickBot="1" x14ac:dyDescent="0.3"/>
    <row r="4" spans="2:17" ht="16.5" x14ac:dyDescent="0.35">
      <c r="B4" s="236" t="s">
        <v>263</v>
      </c>
      <c r="C4" s="239" t="s">
        <v>243</v>
      </c>
      <c r="D4" s="242" t="s">
        <v>244</v>
      </c>
      <c r="E4" s="243"/>
      <c r="F4" s="244" t="s">
        <v>291</v>
      </c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6"/>
    </row>
    <row r="5" spans="2:17" ht="18" x14ac:dyDescent="0.35">
      <c r="B5" s="237"/>
      <c r="C5" s="240"/>
      <c r="D5" s="247" t="s">
        <v>245</v>
      </c>
      <c r="E5" s="248"/>
      <c r="F5" s="68" t="s">
        <v>269</v>
      </c>
      <c r="G5" s="69"/>
      <c r="H5" s="70"/>
      <c r="I5" s="71" t="s">
        <v>268</v>
      </c>
      <c r="J5" s="72"/>
      <c r="K5" s="73"/>
      <c r="L5" s="68" t="s">
        <v>270</v>
      </c>
      <c r="M5" s="69"/>
      <c r="N5" s="70"/>
      <c r="O5" s="68" t="s">
        <v>271</v>
      </c>
      <c r="P5" s="69"/>
      <c r="Q5" s="70"/>
    </row>
    <row r="6" spans="2:17" x14ac:dyDescent="0.25">
      <c r="B6" s="237"/>
      <c r="C6" s="240"/>
      <c r="D6" s="249" t="s">
        <v>246</v>
      </c>
      <c r="E6" s="251" t="s">
        <v>247</v>
      </c>
      <c r="F6" s="74" t="s">
        <v>272</v>
      </c>
      <c r="G6" s="75" t="s">
        <v>265</v>
      </c>
      <c r="H6" s="76" t="s">
        <v>272</v>
      </c>
      <c r="I6" s="74" t="s">
        <v>272</v>
      </c>
      <c r="J6" s="75" t="s">
        <v>265</v>
      </c>
      <c r="K6" s="76" t="s">
        <v>272</v>
      </c>
      <c r="L6" s="74" t="s">
        <v>272</v>
      </c>
      <c r="M6" s="75" t="s">
        <v>265</v>
      </c>
      <c r="N6" s="76" t="s">
        <v>272</v>
      </c>
      <c r="O6" s="74" t="s">
        <v>272</v>
      </c>
      <c r="P6" s="75" t="s">
        <v>265</v>
      </c>
      <c r="Q6" s="76" t="s">
        <v>272</v>
      </c>
    </row>
    <row r="7" spans="2:17" x14ac:dyDescent="0.25">
      <c r="B7" s="237"/>
      <c r="C7" s="240"/>
      <c r="D7" s="249"/>
      <c r="E7" s="251"/>
      <c r="F7" s="77" t="s">
        <v>266</v>
      </c>
      <c r="G7" s="78" t="s">
        <v>267</v>
      </c>
      <c r="H7" s="79" t="s">
        <v>264</v>
      </c>
      <c r="I7" s="77" t="s">
        <v>266</v>
      </c>
      <c r="J7" s="78" t="s">
        <v>267</v>
      </c>
      <c r="K7" s="79" t="s">
        <v>264</v>
      </c>
      <c r="L7" s="77" t="s">
        <v>266</v>
      </c>
      <c r="M7" s="78" t="s">
        <v>267</v>
      </c>
      <c r="N7" s="79" t="s">
        <v>264</v>
      </c>
      <c r="O7" s="77" t="s">
        <v>266</v>
      </c>
      <c r="P7" s="78" t="s">
        <v>267</v>
      </c>
      <c r="Q7" s="79" t="s">
        <v>264</v>
      </c>
    </row>
    <row r="8" spans="2:17" ht="18" x14ac:dyDescent="0.35">
      <c r="B8" s="237"/>
      <c r="C8" s="240"/>
      <c r="D8" s="249"/>
      <c r="E8" s="251"/>
      <c r="F8" s="80" t="s">
        <v>248</v>
      </c>
      <c r="G8" s="81" t="s">
        <v>249</v>
      </c>
      <c r="H8" s="82" t="s">
        <v>250</v>
      </c>
      <c r="I8" s="80" t="s">
        <v>248</v>
      </c>
      <c r="J8" s="81" t="s">
        <v>249</v>
      </c>
      <c r="K8" s="82" t="s">
        <v>250</v>
      </c>
      <c r="L8" s="80" t="s">
        <v>248</v>
      </c>
      <c r="M8" s="81" t="s">
        <v>249</v>
      </c>
      <c r="N8" s="82" t="s">
        <v>251</v>
      </c>
      <c r="O8" s="80" t="s">
        <v>248</v>
      </c>
      <c r="P8" s="81" t="s">
        <v>249</v>
      </c>
      <c r="Q8" s="82" t="s">
        <v>250</v>
      </c>
    </row>
    <row r="9" spans="2:17" ht="15.75" thickBot="1" x14ac:dyDescent="0.3">
      <c r="B9" s="238"/>
      <c r="C9" s="241"/>
      <c r="D9" s="250"/>
      <c r="E9" s="252"/>
      <c r="F9" s="83" t="s">
        <v>292</v>
      </c>
      <c r="G9" s="84" t="s">
        <v>252</v>
      </c>
      <c r="H9" s="85" t="s">
        <v>253</v>
      </c>
      <c r="I9" s="83" t="s">
        <v>292</v>
      </c>
      <c r="J9" s="84" t="s">
        <v>252</v>
      </c>
      <c r="K9" s="85" t="s">
        <v>253</v>
      </c>
      <c r="L9" s="83" t="s">
        <v>292</v>
      </c>
      <c r="M9" s="84" t="s">
        <v>252</v>
      </c>
      <c r="N9" s="85" t="s">
        <v>253</v>
      </c>
      <c r="O9" s="83" t="s">
        <v>292</v>
      </c>
      <c r="P9" s="84" t="s">
        <v>252</v>
      </c>
      <c r="Q9" s="85" t="s">
        <v>253</v>
      </c>
    </row>
    <row r="10" spans="2:17" ht="15.75" x14ac:dyDescent="0.25">
      <c r="B10" s="86">
        <v>10</v>
      </c>
      <c r="C10" s="96" t="s">
        <v>356</v>
      </c>
      <c r="D10" s="87">
        <v>2.8</v>
      </c>
      <c r="E10" s="88">
        <v>0.77777777777777768</v>
      </c>
      <c r="F10" s="89">
        <v>0.01</v>
      </c>
      <c r="G10" s="90">
        <v>77.777777777777771</v>
      </c>
      <c r="H10" s="91">
        <v>6</v>
      </c>
      <c r="I10" s="92">
        <v>0.1</v>
      </c>
      <c r="J10" s="90">
        <v>7.7777777777777768</v>
      </c>
      <c r="K10" s="93">
        <v>64</v>
      </c>
      <c r="L10" s="89">
        <v>0.1</v>
      </c>
      <c r="M10" s="90">
        <v>7.7777777777777768</v>
      </c>
      <c r="N10" s="91">
        <v>64</v>
      </c>
      <c r="O10" s="89">
        <v>1</v>
      </c>
      <c r="P10" s="94">
        <v>0.77777777777777768</v>
      </c>
      <c r="Q10" s="93">
        <v>643</v>
      </c>
    </row>
    <row r="11" spans="2:17" ht="15.75" x14ac:dyDescent="0.25">
      <c r="B11" s="95">
        <v>15</v>
      </c>
      <c r="C11" s="96" t="s">
        <v>254</v>
      </c>
      <c r="D11" s="97">
        <v>7.87</v>
      </c>
      <c r="E11" s="107">
        <v>2.1861111111111109</v>
      </c>
      <c r="F11" s="99">
        <v>0.1</v>
      </c>
      <c r="G11" s="100">
        <v>21.861111111111107</v>
      </c>
      <c r="H11" s="101">
        <v>23</v>
      </c>
      <c r="I11" s="102">
        <v>0.1</v>
      </c>
      <c r="J11" s="100">
        <v>21.861111111111107</v>
      </c>
      <c r="K11" s="98">
        <v>23</v>
      </c>
      <c r="L11" s="99">
        <v>1</v>
      </c>
      <c r="M11" s="100">
        <v>2.1861111111111109</v>
      </c>
      <c r="N11" s="101">
        <v>229</v>
      </c>
      <c r="O11" s="99">
        <v>1</v>
      </c>
      <c r="P11" s="100">
        <v>2.1861111111111109</v>
      </c>
      <c r="Q11" s="98">
        <v>229</v>
      </c>
    </row>
    <row r="12" spans="2:17" ht="15.75" x14ac:dyDescent="0.25">
      <c r="B12" s="95">
        <v>20</v>
      </c>
      <c r="C12" s="96" t="s">
        <v>255</v>
      </c>
      <c r="D12" s="97">
        <v>12</v>
      </c>
      <c r="E12" s="107">
        <v>3.333333333333333</v>
      </c>
      <c r="F12" s="99">
        <v>0.1</v>
      </c>
      <c r="G12" s="100">
        <v>33.333333333333329</v>
      </c>
      <c r="H12" s="101">
        <v>15</v>
      </c>
      <c r="I12" s="102">
        <v>0.1</v>
      </c>
      <c r="J12" s="100">
        <v>33.333333333333329</v>
      </c>
      <c r="K12" s="98">
        <v>15</v>
      </c>
      <c r="L12" s="99">
        <v>1</v>
      </c>
      <c r="M12" s="100">
        <v>3.333333333333333</v>
      </c>
      <c r="N12" s="101">
        <v>150</v>
      </c>
      <c r="O12" s="99">
        <v>1</v>
      </c>
      <c r="P12" s="100">
        <v>3.333333333333333</v>
      </c>
      <c r="Q12" s="98">
        <v>150</v>
      </c>
    </row>
    <row r="13" spans="2:17" ht="15.75" x14ac:dyDescent="0.25">
      <c r="B13" s="95">
        <v>25</v>
      </c>
      <c r="C13" s="96" t="s">
        <v>256</v>
      </c>
      <c r="D13" s="97">
        <v>20</v>
      </c>
      <c r="E13" s="107">
        <v>5.5555555555555554</v>
      </c>
      <c r="F13" s="99">
        <v>0.1</v>
      </c>
      <c r="G13" s="100">
        <v>55.55555555555555</v>
      </c>
      <c r="H13" s="101">
        <v>9</v>
      </c>
      <c r="I13" s="102">
        <v>0.1</v>
      </c>
      <c r="J13" s="100">
        <v>55.55555555555555</v>
      </c>
      <c r="K13" s="98">
        <v>9</v>
      </c>
      <c r="L13" s="99">
        <v>1</v>
      </c>
      <c r="M13" s="100">
        <v>5.5555555555555554</v>
      </c>
      <c r="N13" s="101">
        <v>90</v>
      </c>
      <c r="O13" s="99">
        <v>1</v>
      </c>
      <c r="P13" s="100">
        <v>5.5555555555555554</v>
      </c>
      <c r="Q13" s="98">
        <v>90</v>
      </c>
    </row>
    <row r="14" spans="2:17" ht="15.75" x14ac:dyDescent="0.25">
      <c r="B14" s="95">
        <v>32</v>
      </c>
      <c r="C14" s="96" t="s">
        <v>257</v>
      </c>
      <c r="D14" s="97">
        <v>31.25</v>
      </c>
      <c r="E14" s="107">
        <v>8.6805555555555554</v>
      </c>
      <c r="F14" s="99">
        <v>0.1</v>
      </c>
      <c r="G14" s="100">
        <v>86.805555555555543</v>
      </c>
      <c r="H14" s="101">
        <v>6</v>
      </c>
      <c r="I14" s="102">
        <v>1</v>
      </c>
      <c r="J14" s="100">
        <v>8.6805555555555554</v>
      </c>
      <c r="K14" s="98">
        <v>58</v>
      </c>
      <c r="L14" s="99">
        <v>1</v>
      </c>
      <c r="M14" s="100">
        <v>8.6805555555555554</v>
      </c>
      <c r="N14" s="101">
        <v>58</v>
      </c>
      <c r="O14" s="99">
        <v>10</v>
      </c>
      <c r="P14" s="100">
        <v>0.86805555555555558</v>
      </c>
      <c r="Q14" s="98">
        <v>576</v>
      </c>
    </row>
    <row r="15" spans="2:17" ht="15.75" x14ac:dyDescent="0.25">
      <c r="B15" s="95">
        <v>40</v>
      </c>
      <c r="C15" s="96" t="s">
        <v>258</v>
      </c>
      <c r="D15" s="97">
        <v>50</v>
      </c>
      <c r="E15" s="108">
        <v>13.888888888888889</v>
      </c>
      <c r="F15" s="99">
        <v>1</v>
      </c>
      <c r="G15" s="100">
        <v>13.888888888888889</v>
      </c>
      <c r="H15" s="101">
        <v>36</v>
      </c>
      <c r="I15" s="102">
        <v>1</v>
      </c>
      <c r="J15" s="100">
        <v>13.888888888888889</v>
      </c>
      <c r="K15" s="98">
        <v>36</v>
      </c>
      <c r="L15" s="99">
        <v>10</v>
      </c>
      <c r="M15" s="100">
        <v>1.3888888888888888</v>
      </c>
      <c r="N15" s="101">
        <v>360</v>
      </c>
      <c r="O15" s="99">
        <v>10</v>
      </c>
      <c r="P15" s="100">
        <v>1.3888888888888888</v>
      </c>
      <c r="Q15" s="98">
        <v>360</v>
      </c>
    </row>
    <row r="16" spans="2:17" ht="15.75" x14ac:dyDescent="0.25">
      <c r="B16" s="95">
        <v>50</v>
      </c>
      <c r="C16" s="96" t="s">
        <v>259</v>
      </c>
      <c r="D16" s="97">
        <v>79</v>
      </c>
      <c r="E16" s="108">
        <v>21.944444444444443</v>
      </c>
      <c r="F16" s="99">
        <v>1</v>
      </c>
      <c r="G16" s="100">
        <v>21.944444444444443</v>
      </c>
      <c r="H16" s="101">
        <v>23</v>
      </c>
      <c r="I16" s="102">
        <v>1</v>
      </c>
      <c r="J16" s="100">
        <v>21.944444444444443</v>
      </c>
      <c r="K16" s="98">
        <v>23</v>
      </c>
      <c r="L16" s="99">
        <v>10</v>
      </c>
      <c r="M16" s="100">
        <v>2.1944444444444442</v>
      </c>
      <c r="N16" s="101">
        <v>228</v>
      </c>
      <c r="O16" s="99">
        <v>10</v>
      </c>
      <c r="P16" s="100">
        <v>2.1944444444444442</v>
      </c>
      <c r="Q16" s="98">
        <v>228</v>
      </c>
    </row>
    <row r="17" spans="2:17" ht="15.75" x14ac:dyDescent="0.25">
      <c r="B17" s="95">
        <v>65</v>
      </c>
      <c r="C17" s="96" t="s">
        <v>260</v>
      </c>
      <c r="D17" s="97">
        <v>125</v>
      </c>
      <c r="E17" s="108">
        <v>34.722222222222221</v>
      </c>
      <c r="F17" s="99">
        <v>1</v>
      </c>
      <c r="G17" s="100">
        <v>34.722222222222221</v>
      </c>
      <c r="H17" s="101">
        <v>14</v>
      </c>
      <c r="I17" s="102">
        <v>1</v>
      </c>
      <c r="J17" s="100">
        <v>34.722222222222221</v>
      </c>
      <c r="K17" s="98">
        <v>14</v>
      </c>
      <c r="L17" s="99">
        <v>10</v>
      </c>
      <c r="M17" s="100">
        <v>3.4722222222222223</v>
      </c>
      <c r="N17" s="101">
        <v>144</v>
      </c>
      <c r="O17" s="99">
        <v>10</v>
      </c>
      <c r="P17" s="100">
        <v>3.4722222222222223</v>
      </c>
      <c r="Q17" s="98">
        <v>144</v>
      </c>
    </row>
    <row r="18" spans="2:17" ht="15.75" x14ac:dyDescent="0.25">
      <c r="B18" s="95">
        <v>80</v>
      </c>
      <c r="C18" s="96" t="s">
        <v>261</v>
      </c>
      <c r="D18" s="97">
        <v>200</v>
      </c>
      <c r="E18" s="108">
        <v>55.555555555555557</v>
      </c>
      <c r="F18" s="99">
        <v>1</v>
      </c>
      <c r="G18" s="100">
        <v>55.555555555555557</v>
      </c>
      <c r="H18" s="101">
        <v>9</v>
      </c>
      <c r="I18" s="102">
        <v>1</v>
      </c>
      <c r="J18" s="100">
        <v>55.555555555555557</v>
      </c>
      <c r="K18" s="98">
        <v>9</v>
      </c>
      <c r="L18" s="99">
        <v>10</v>
      </c>
      <c r="M18" s="100">
        <v>5.5555555555555554</v>
      </c>
      <c r="N18" s="101">
        <v>90</v>
      </c>
      <c r="O18" s="99">
        <v>10</v>
      </c>
      <c r="P18" s="100">
        <v>5.5555555555555554</v>
      </c>
      <c r="Q18" s="98">
        <v>90</v>
      </c>
    </row>
    <row r="19" spans="2:17" ht="16.5" thickBot="1" x14ac:dyDescent="0.3">
      <c r="B19" s="220">
        <v>100</v>
      </c>
      <c r="C19" s="103" t="s">
        <v>262</v>
      </c>
      <c r="D19" s="221">
        <v>312.5</v>
      </c>
      <c r="E19" s="222">
        <v>86.805555555555557</v>
      </c>
      <c r="F19" s="223">
        <v>1</v>
      </c>
      <c r="G19" s="224">
        <v>86.805555555555557</v>
      </c>
      <c r="H19" s="225">
        <v>6</v>
      </c>
      <c r="I19" s="226">
        <v>10</v>
      </c>
      <c r="J19" s="224">
        <v>8.6805555555555554</v>
      </c>
      <c r="K19" s="227">
        <v>58</v>
      </c>
      <c r="L19" s="223">
        <v>10</v>
      </c>
      <c r="M19" s="224">
        <v>8.6805555555555554</v>
      </c>
      <c r="N19" s="225">
        <v>58</v>
      </c>
      <c r="O19" s="223">
        <v>100</v>
      </c>
      <c r="P19" s="224">
        <v>0.86805555555555558</v>
      </c>
      <c r="Q19" s="227">
        <v>576</v>
      </c>
    </row>
  </sheetData>
  <sheetProtection algorithmName="SHA-512" hashValue="IhGzM5z5dpXjBwij2ameSEb7i94T4BqU+57pdtMLEBtzsXOgGWn9rj4Y7uPBymtrptJdTIPciz+idz2WQBLrCw==" saltValue="NueL6/fpfiLpjcx/98pcog==" spinCount="100000" sheet="1" objects="1" scenarios="1" selectLockedCells="1" selectUnlockedCells="1"/>
  <mergeCells count="7">
    <mergeCell ref="B4:B9"/>
    <mergeCell ref="C4:C9"/>
    <mergeCell ref="D4:E4"/>
    <mergeCell ref="F4:Q4"/>
    <mergeCell ref="D5:E5"/>
    <mergeCell ref="D6:D9"/>
    <mergeCell ref="E6:E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topLeftCell="A19" workbookViewId="0">
      <selection activeCell="G26" sqref="G26"/>
    </sheetView>
  </sheetViews>
  <sheetFormatPr defaultRowHeight="15" x14ac:dyDescent="0.25"/>
  <cols>
    <col min="1" max="1" width="6.140625" customWidth="1"/>
    <col min="2" max="2" width="9" style="13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7" t="s">
        <v>26</v>
      </c>
      <c r="B1" s="18"/>
      <c r="C1" s="19"/>
      <c r="D1" s="19"/>
      <c r="E1" s="30" t="s">
        <v>39</v>
      </c>
      <c r="F1" s="28">
        <f>COUNTBLANK(KodyOC)</f>
        <v>40</v>
      </c>
      <c r="G1" s="32" t="s">
        <v>42</v>
      </c>
      <c r="H1" s="48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</f>
        <v/>
      </c>
    </row>
    <row r="2" spans="1:8" ht="14.25" customHeight="1" thickBot="1" x14ac:dyDescent="0.4">
      <c r="A2" s="17"/>
      <c r="B2" s="18"/>
      <c r="D2" s="19"/>
      <c r="E2" s="31" t="s">
        <v>41</v>
      </c>
      <c r="F2" s="28">
        <f>COUNTBLANK(KodyOC_HW)</f>
        <v>12</v>
      </c>
      <c r="G2" s="33"/>
      <c r="H2" s="20"/>
    </row>
    <row r="3" spans="1:8" ht="14.25" customHeight="1" thickBot="1" x14ac:dyDescent="0.3">
      <c r="A3" s="39" t="s">
        <v>46</v>
      </c>
      <c r="B3" s="40" t="s">
        <v>47</v>
      </c>
      <c r="C3" s="41" t="s">
        <v>48</v>
      </c>
      <c r="D3" s="42" t="s">
        <v>49</v>
      </c>
      <c r="E3" s="43"/>
      <c r="F3" s="28"/>
      <c r="G3" s="33"/>
      <c r="H3" s="20"/>
    </row>
    <row r="4" spans="1:8" ht="15.75" x14ac:dyDescent="0.25">
      <c r="A4" s="21">
        <v>0</v>
      </c>
      <c r="B4" s="22" t="s">
        <v>366</v>
      </c>
      <c r="C4" s="23"/>
      <c r="D4" s="23"/>
      <c r="E4" s="19"/>
      <c r="F4" s="19"/>
      <c r="G4" s="29" t="s">
        <v>40</v>
      </c>
      <c r="H4" s="19"/>
    </row>
    <row r="5" spans="1:8" x14ac:dyDescent="0.25">
      <c r="A5" s="24">
        <f>Specification!B5</f>
        <v>5</v>
      </c>
      <c r="B5" s="25" t="str">
        <f>Specification!E5</f>
        <v/>
      </c>
      <c r="C5" s="26" t="str">
        <f>Specification!C5</f>
        <v>Connection of the sensor</v>
      </c>
      <c r="D5" s="27">
        <f>Specification!D5</f>
        <v>0</v>
      </c>
      <c r="E5" s="23"/>
      <c r="F5" s="19"/>
      <c r="G5" s="46" t="str">
        <f>IF(MID(B5,1,1)="X",C5,"")</f>
        <v/>
      </c>
      <c r="H5" s="19"/>
    </row>
    <row r="6" spans="1:8" x14ac:dyDescent="0.25">
      <c r="A6" s="24">
        <f>Specification!B6</f>
        <v>6</v>
      </c>
      <c r="B6" s="25" t="str">
        <f>Specification!E6</f>
        <v/>
      </c>
      <c r="C6" s="26" t="str">
        <f>Specification!C6</f>
        <v>Flowmeter version and equipment</v>
      </c>
      <c r="D6" s="27">
        <f>Specification!D6</f>
        <v>0</v>
      </c>
      <c r="E6" s="23"/>
      <c r="F6" s="19"/>
      <c r="G6" s="47" t="str">
        <f>IF(MID(B6,1,1)="X",C6,"")</f>
        <v/>
      </c>
      <c r="H6" s="19"/>
    </row>
    <row r="7" spans="1:8" x14ac:dyDescent="0.25">
      <c r="A7" s="24" t="str">
        <f>Specification!B7</f>
        <v xml:space="preserve"> - </v>
      </c>
      <c r="B7" s="25" t="str">
        <f>Specification!E7</f>
        <v>-</v>
      </c>
      <c r="C7" s="26" t="str">
        <f>Specification!C7</f>
        <v>TECHNICAL PARAMETERS</v>
      </c>
      <c r="D7" s="27" t="str">
        <f>Specification!D7</f>
        <v xml:space="preserve"> - </v>
      </c>
      <c r="E7" s="23"/>
      <c r="F7" s="19"/>
      <c r="G7" s="47" t="str">
        <f t="shared" ref="G7:G35" si="0">IF(MID(B7,1,1)="X",C7,"")</f>
        <v/>
      </c>
      <c r="H7" s="19"/>
    </row>
    <row r="8" spans="1:8" x14ac:dyDescent="0.25">
      <c r="A8" s="24">
        <f>Specification!B8</f>
        <v>8</v>
      </c>
      <c r="B8" s="25" t="str">
        <f>Specification!E8</f>
        <v/>
      </c>
      <c r="C8" s="26" t="str">
        <f>Specification!C8</f>
        <v>Dimension of sensor DN/max flow rate</v>
      </c>
      <c r="D8" s="27">
        <f>Specification!D8</f>
        <v>0</v>
      </c>
      <c r="E8" s="23"/>
      <c r="F8" s="19"/>
      <c r="G8" s="47" t="str">
        <f t="shared" si="0"/>
        <v/>
      </c>
      <c r="H8" s="19"/>
    </row>
    <row r="9" spans="1:8" x14ac:dyDescent="0.25">
      <c r="A9" s="24">
        <f>Specification!B9</f>
        <v>9</v>
      </c>
      <c r="B9" s="25" t="str">
        <f>Specification!E9</f>
        <v/>
      </c>
      <c r="C9" s="26" t="str">
        <f>Specification!C9</f>
        <v>Sensor material</v>
      </c>
      <c r="D9" s="27">
        <f>Specification!D9</f>
        <v>0</v>
      </c>
      <c r="E9" s="23"/>
      <c r="F9" s="19"/>
      <c r="G9" s="47" t="str">
        <f t="shared" si="0"/>
        <v/>
      </c>
      <c r="H9" s="19"/>
    </row>
    <row r="10" spans="1:8" x14ac:dyDescent="0.25">
      <c r="A10" s="24">
        <f>Specification!B12</f>
        <v>12</v>
      </c>
      <c r="B10" s="25" t="str">
        <f>Specification!E12</f>
        <v/>
      </c>
      <c r="C10" s="26" t="str">
        <f>Specification!C12</f>
        <v>Electrodes material</v>
      </c>
      <c r="D10" s="27">
        <f>Specification!D12</f>
        <v>0</v>
      </c>
      <c r="E10" s="23"/>
      <c r="F10" s="19"/>
      <c r="G10" s="47" t="str">
        <f t="shared" si="0"/>
        <v/>
      </c>
      <c r="H10" s="19"/>
    </row>
    <row r="11" spans="1:8" x14ac:dyDescent="0.25">
      <c r="A11" s="24">
        <f>Specification!B10</f>
        <v>10</v>
      </c>
      <c r="B11" s="25" t="str">
        <f>Specification!E10</f>
        <v/>
      </c>
      <c r="C11" s="26" t="str">
        <f>Specification!C10</f>
        <v>Sensor lining</v>
      </c>
      <c r="D11" s="27">
        <f>Specification!D10</f>
        <v>0</v>
      </c>
      <c r="E11" s="23"/>
      <c r="F11" s="19"/>
      <c r="G11" s="47" t="str">
        <f t="shared" si="0"/>
        <v/>
      </c>
      <c r="H11" s="19"/>
    </row>
    <row r="12" spans="1:8" x14ac:dyDescent="0.25">
      <c r="A12" s="24">
        <f>Specification!B11</f>
        <v>11</v>
      </c>
      <c r="B12" s="25" t="str">
        <f>Specification!E11</f>
        <v/>
      </c>
      <c r="C12" s="26" t="str">
        <f>Specification!C11</f>
        <v>Sensor protection</v>
      </c>
      <c r="D12" s="27">
        <f>Specification!D11</f>
        <v>0</v>
      </c>
      <c r="E12" s="23"/>
      <c r="F12" s="19"/>
      <c r="G12" s="47" t="str">
        <f t="shared" si="0"/>
        <v/>
      </c>
      <c r="H12" s="19"/>
    </row>
    <row r="13" spans="1:8" x14ac:dyDescent="0.25">
      <c r="A13" s="24">
        <f>Specification!B13</f>
        <v>13</v>
      </c>
      <c r="B13" s="25" t="str">
        <f>Specification!E13</f>
        <v/>
      </c>
      <c r="C13" s="26" t="str">
        <f>Specification!C13</f>
        <v>Grounding electrodes</v>
      </c>
      <c r="D13" s="27">
        <f>Specification!D13</f>
        <v>0</v>
      </c>
      <c r="E13" s="23"/>
      <c r="F13" s="19"/>
      <c r="G13" s="47" t="str">
        <f t="shared" si="0"/>
        <v/>
      </c>
      <c r="H13" s="19"/>
    </row>
    <row r="14" spans="1:8" x14ac:dyDescent="0.25">
      <c r="A14" s="24">
        <f>Specification!B14</f>
        <v>14</v>
      </c>
      <c r="B14" s="25" t="str">
        <f>Specification!E14</f>
        <v/>
      </c>
      <c r="C14" s="26" t="str">
        <f>Specification!C14</f>
        <v>Nominal (maximum allowable) pressure</v>
      </c>
      <c r="D14" s="27">
        <f>Specification!D14</f>
        <v>0</v>
      </c>
      <c r="E14" s="23"/>
      <c r="F14" s="19"/>
      <c r="G14" s="47" t="str">
        <f t="shared" si="0"/>
        <v/>
      </c>
      <c r="H14" s="19"/>
    </row>
    <row r="15" spans="1:8" x14ac:dyDescent="0.25">
      <c r="A15" s="24">
        <f>Specification!B15</f>
        <v>15</v>
      </c>
      <c r="B15" s="25" t="str">
        <f>Specification!E15</f>
        <v/>
      </c>
      <c r="C15" s="26" t="str">
        <f>Specification!C15</f>
        <v>Max operating medium temperat. (TSmax)</v>
      </c>
      <c r="D15" s="27">
        <f>Specification!D15</f>
        <v>0</v>
      </c>
      <c r="E15" s="23"/>
      <c r="F15" s="19"/>
      <c r="G15" s="47" t="str">
        <f t="shared" si="0"/>
        <v/>
      </c>
      <c r="H15" s="19"/>
    </row>
    <row r="16" spans="1:8" x14ac:dyDescent="0.25">
      <c r="A16" s="24">
        <f>Specification!B16</f>
        <v>16</v>
      </c>
      <c r="B16" s="25" t="str">
        <f>Specification!E16</f>
        <v/>
      </c>
      <c r="C16" s="26" t="str">
        <f>Specification!C16</f>
        <v>Power supply</v>
      </c>
      <c r="D16" s="27">
        <f>Specification!D16</f>
        <v>0</v>
      </c>
      <c r="E16" s="23"/>
      <c r="F16" s="19"/>
      <c r="G16" s="47" t="str">
        <f t="shared" si="0"/>
        <v/>
      </c>
      <c r="H16" s="19"/>
    </row>
    <row r="17" spans="1:8" x14ac:dyDescent="0.25">
      <c r="A17" s="24">
        <f>Specification!B17</f>
        <v>17</v>
      </c>
      <c r="B17" s="25" t="str">
        <f>Specification!E17</f>
        <v/>
      </c>
      <c r="C17" s="26" t="str">
        <f>Specification!C17</f>
        <v>Transmitter protection class</v>
      </c>
      <c r="D17" s="27">
        <f>Specification!D17</f>
        <v>0</v>
      </c>
      <c r="E17" s="23"/>
      <c r="F17" s="19"/>
      <c r="G17" s="47" t="str">
        <f t="shared" si="0"/>
        <v/>
      </c>
      <c r="H17" s="19"/>
    </row>
    <row r="18" spans="1:8" x14ac:dyDescent="0.25">
      <c r="A18" s="24">
        <f>Specification!B18</f>
        <v>18</v>
      </c>
      <c r="B18" s="25" t="str">
        <f>Specification!E18</f>
        <v/>
      </c>
      <c r="C18" s="26" t="str">
        <f>Specification!C18</f>
        <v>Type of measured liquid</v>
      </c>
      <c r="D18" s="27">
        <f>Specification!D18</f>
        <v>0</v>
      </c>
      <c r="E18" s="23"/>
      <c r="F18" s="19"/>
      <c r="G18" s="47" t="str">
        <f t="shared" si="0"/>
        <v/>
      </c>
      <c r="H18" s="19"/>
    </row>
    <row r="19" spans="1:8" x14ac:dyDescent="0.25">
      <c r="A19" s="24">
        <f>Specification!B19</f>
        <v>19</v>
      </c>
      <c r="B19" s="25" t="str">
        <f>Specification!E19</f>
        <v/>
      </c>
      <c r="C19" s="26" t="str">
        <f>Specification!C19</f>
        <v>Description of the measured liquid</v>
      </c>
      <c r="D19" s="27">
        <f>Specification!D19</f>
        <v>0</v>
      </c>
      <c r="E19" s="23"/>
      <c r="F19" s="19"/>
      <c r="G19" s="47" t="str">
        <f t="shared" si="0"/>
        <v/>
      </c>
      <c r="H19" s="19"/>
    </row>
    <row r="20" spans="1:8" x14ac:dyDescent="0.25">
      <c r="A20" s="24">
        <f>Specification!B20</f>
        <v>20</v>
      </c>
      <c r="B20" s="25" t="str">
        <f>Specification!E20</f>
        <v/>
      </c>
      <c r="C20" s="26" t="str">
        <f>Specification!C20</f>
        <v>Grounding rings</v>
      </c>
      <c r="D20" s="27">
        <f>Specification!D20</f>
        <v>0</v>
      </c>
      <c r="E20" s="23"/>
      <c r="F20" s="19"/>
      <c r="G20" s="47" t="str">
        <f t="shared" si="0"/>
        <v/>
      </c>
      <c r="H20" s="19"/>
    </row>
    <row r="21" spans="1:8" x14ac:dyDescent="0.25">
      <c r="A21" s="24">
        <f>Specification!B21</f>
        <v>21</v>
      </c>
      <c r="B21" s="25" t="str">
        <f>Specification!E21</f>
        <v/>
      </c>
      <c r="C21" s="26" t="str">
        <f>Specification!C21</f>
        <v>Length of cable</v>
      </c>
      <c r="D21" s="27">
        <f>Specification!D21</f>
        <v>0</v>
      </c>
      <c r="E21" s="23"/>
      <c r="F21" s="19"/>
      <c r="G21" s="47" t="str">
        <f t="shared" si="0"/>
        <v/>
      </c>
      <c r="H21" s="19"/>
    </row>
    <row r="22" spans="1:8" x14ac:dyDescent="0.25">
      <c r="A22" s="24" t="str">
        <f>Specification!B22</f>
        <v xml:space="preserve"> - </v>
      </c>
      <c r="B22" s="25" t="str">
        <f>Specification!E22</f>
        <v>-</v>
      </c>
      <c r="C22" s="26" t="str">
        <f>Specification!C22</f>
        <v>FLOW METER SETTINGS</v>
      </c>
      <c r="D22" s="27">
        <f>Specification!D22</f>
        <v>0</v>
      </c>
      <c r="E22" s="23"/>
      <c r="F22" s="19"/>
      <c r="G22" s="47" t="str">
        <f t="shared" si="0"/>
        <v/>
      </c>
      <c r="H22" s="19"/>
    </row>
    <row r="23" spans="1:8" x14ac:dyDescent="0.25">
      <c r="A23" s="24">
        <f>Specification!B23</f>
        <v>23</v>
      </c>
      <c r="B23" s="25" t="str">
        <f>Specification!E23</f>
        <v/>
      </c>
      <c r="C23" s="26" t="str">
        <f>Specification!C23</f>
        <v>Pulse number</v>
      </c>
      <c r="D23" s="27">
        <f>Specification!D23</f>
        <v>0</v>
      </c>
      <c r="E23" s="23"/>
      <c r="F23" s="19"/>
      <c r="G23" s="47" t="str">
        <f t="shared" si="0"/>
        <v/>
      </c>
      <c r="H23" s="19"/>
    </row>
    <row r="24" spans="1:8" x14ac:dyDescent="0.25">
      <c r="A24" s="24">
        <f>Specification!B24</f>
        <v>24</v>
      </c>
      <c r="B24" s="25" t="str">
        <f>Specification!E24</f>
        <v/>
      </c>
      <c r="C24" s="26" t="str">
        <f>Specification!C24</f>
        <v>Units of pulse number</v>
      </c>
      <c r="D24" s="27">
        <f>Specification!D24</f>
        <v>0</v>
      </c>
      <c r="E24" s="23"/>
      <c r="F24" s="19"/>
      <c r="G24" s="47" t="str">
        <f t="shared" si="0"/>
        <v/>
      </c>
      <c r="H24" s="19"/>
    </row>
    <row r="25" spans="1:8" x14ac:dyDescent="0.25">
      <c r="A25" s="24">
        <f>Specification!B25</f>
        <v>25</v>
      </c>
      <c r="B25" s="25" t="str">
        <f>Specification!E25</f>
        <v/>
      </c>
      <c r="C25" s="26" t="str">
        <f>Specification!C25</f>
        <v>Units of volume</v>
      </c>
      <c r="D25" s="27">
        <f>Specification!D25</f>
        <v>0</v>
      </c>
      <c r="E25" s="23"/>
      <c r="F25" s="19"/>
      <c r="G25" s="47" t="str">
        <f t="shared" si="0"/>
        <v/>
      </c>
      <c r="H25" s="19"/>
    </row>
    <row r="26" spans="1:8" x14ac:dyDescent="0.25">
      <c r="A26" s="24">
        <f>Specification!B26</f>
        <v>26</v>
      </c>
      <c r="B26" s="25" t="str">
        <f>Specification!E26</f>
        <v/>
      </c>
      <c r="C26" s="26" t="str">
        <f>Specification!C26</f>
        <v>Flow units</v>
      </c>
      <c r="D26" s="27">
        <f>Specification!D26</f>
        <v>0</v>
      </c>
      <c r="E26" s="23"/>
      <c r="F26" s="19"/>
      <c r="G26" s="47" t="str">
        <f t="shared" si="0"/>
        <v/>
      </c>
      <c r="H26" s="19"/>
    </row>
    <row r="27" spans="1:8" x14ac:dyDescent="0.25">
      <c r="A27" s="24">
        <f>Specification!B27</f>
        <v>27</v>
      </c>
      <c r="B27" s="25" t="str">
        <f>Specification!E27</f>
        <v/>
      </c>
      <c r="C27" s="26" t="str">
        <f>Specification!C27</f>
        <v>Number of samples for averaging</v>
      </c>
      <c r="D27" s="27">
        <f>Specification!D27</f>
        <v>0</v>
      </c>
      <c r="E27" s="23"/>
      <c r="F27" s="19"/>
      <c r="G27" s="47" t="str">
        <f t="shared" si="0"/>
        <v/>
      </c>
      <c r="H27" s="19"/>
    </row>
    <row r="28" spans="1:8" x14ac:dyDescent="0.25">
      <c r="A28" s="24">
        <f>Specification!B28</f>
        <v>28</v>
      </c>
      <c r="B28" s="25" t="str">
        <f>Specification!E28</f>
        <v/>
      </c>
      <c r="C28" s="26" t="str">
        <f>Specification!C28</f>
        <v>Measurement in sensitivity</v>
      </c>
      <c r="D28" s="27">
        <f>Specification!D28</f>
        <v>0</v>
      </c>
      <c r="E28" s="23"/>
      <c r="F28" s="19"/>
      <c r="G28" s="47" t="str">
        <f t="shared" si="0"/>
        <v/>
      </c>
      <c r="H28" s="19"/>
    </row>
    <row r="29" spans="1:8" x14ac:dyDescent="0.25">
      <c r="A29" s="24">
        <f>Specification!B29</f>
        <v>29</v>
      </c>
      <c r="B29" s="25" t="str">
        <f>Specification!E29</f>
        <v/>
      </c>
      <c r="C29" s="26" t="str">
        <f>Specification!C29</f>
        <v>Displayed languague</v>
      </c>
      <c r="D29" s="27">
        <f>Specification!D29</f>
        <v>0</v>
      </c>
      <c r="E29" s="23"/>
      <c r="F29" s="19"/>
      <c r="G29" s="47" t="str">
        <f t="shared" si="0"/>
        <v/>
      </c>
      <c r="H29" s="19"/>
    </row>
    <row r="30" spans="1:8" x14ac:dyDescent="0.25">
      <c r="A30" s="24">
        <f>Specification!B30</f>
        <v>30</v>
      </c>
      <c r="B30" s="25" t="str">
        <f>Specification!E30</f>
        <v/>
      </c>
      <c r="C30" s="26" t="str">
        <f>Specification!C30</f>
        <v>Data on display</v>
      </c>
      <c r="D30" s="27">
        <f>Specification!D30</f>
        <v>0</v>
      </c>
      <c r="E30" s="23"/>
      <c r="F30" s="19"/>
      <c r="G30" s="47" t="str">
        <f t="shared" si="0"/>
        <v/>
      </c>
      <c r="H30" s="19"/>
    </row>
    <row r="31" spans="1:8" x14ac:dyDescent="0.25">
      <c r="A31" s="24">
        <f>Specification!B31</f>
        <v>31</v>
      </c>
      <c r="B31" s="25" t="str">
        <f>Specification!E31</f>
        <v/>
      </c>
      <c r="C31" s="26" t="str">
        <f>Specification!C31</f>
        <v>Flow 100% (l/s)</v>
      </c>
      <c r="D31" s="27">
        <f>Specification!D31</f>
        <v>0</v>
      </c>
      <c r="E31" s="23"/>
      <c r="F31" s="19"/>
      <c r="G31" s="47" t="str">
        <f t="shared" si="0"/>
        <v/>
      </c>
      <c r="H31" s="19"/>
    </row>
    <row r="32" spans="1:8" x14ac:dyDescent="0.25">
      <c r="A32" s="24">
        <f>Specification!B32</f>
        <v>32</v>
      </c>
      <c r="B32" s="25" t="str">
        <f>Specification!E32</f>
        <v/>
      </c>
      <c r="C32" s="26" t="str">
        <f>Specification!C32</f>
        <v>Current output Flow rate</v>
      </c>
      <c r="D32" s="27">
        <f>Specification!D32</f>
        <v>0</v>
      </c>
      <c r="E32" s="23"/>
      <c r="F32" s="19"/>
      <c r="G32" s="47" t="str">
        <f t="shared" si="0"/>
        <v/>
      </c>
      <c r="H32" s="19"/>
    </row>
    <row r="33" spans="1:8" x14ac:dyDescent="0.25">
      <c r="A33" s="24">
        <f>Specification!B33</f>
        <v>33</v>
      </c>
      <c r="B33" s="25" t="str">
        <f>Specification!E33</f>
        <v/>
      </c>
      <c r="C33" s="26" t="str">
        <f>Specification!C33</f>
        <v>Output OUT 1</v>
      </c>
      <c r="D33" s="27">
        <f>Specification!D33</f>
        <v>0</v>
      </c>
      <c r="E33" s="23"/>
      <c r="F33" s="19"/>
      <c r="G33" s="47" t="str">
        <f t="shared" si="0"/>
        <v/>
      </c>
      <c r="H33" s="19"/>
    </row>
    <row r="34" spans="1:8" x14ac:dyDescent="0.25">
      <c r="A34" s="24">
        <f>Specification!B34</f>
        <v>34</v>
      </c>
      <c r="B34" s="25" t="str">
        <f>Specification!E34</f>
        <v/>
      </c>
      <c r="C34" s="26" t="str">
        <f>Specification!C34</f>
        <v>Output OUT 1 functions</v>
      </c>
      <c r="D34" s="27">
        <f>Specification!D34</f>
        <v>0</v>
      </c>
      <c r="E34" s="23"/>
      <c r="F34" s="19"/>
      <c r="G34" s="47" t="str">
        <f t="shared" si="0"/>
        <v/>
      </c>
      <c r="H34" s="19"/>
    </row>
    <row r="35" spans="1:8" x14ac:dyDescent="0.25">
      <c r="A35" s="24">
        <f>Specification!B35</f>
        <v>35</v>
      </c>
      <c r="B35" s="25" t="str">
        <f>Specification!E35</f>
        <v/>
      </c>
      <c r="C35" s="26" t="str">
        <f>Specification!C35</f>
        <v>Output OUT 2</v>
      </c>
      <c r="D35" s="27">
        <f>Specification!D35</f>
        <v>0</v>
      </c>
      <c r="E35" s="23"/>
      <c r="F35" s="19"/>
      <c r="G35" s="47" t="str">
        <f t="shared" si="0"/>
        <v/>
      </c>
      <c r="H35" s="19"/>
    </row>
    <row r="36" spans="1:8" x14ac:dyDescent="0.25">
      <c r="A36" s="24">
        <f>Specification!B36</f>
        <v>36</v>
      </c>
      <c r="B36" s="25" t="str">
        <f>Specification!E36</f>
        <v/>
      </c>
      <c r="C36" s="26" t="str">
        <f>Specification!C36</f>
        <v>Output OUT 2 functions</v>
      </c>
      <c r="D36" s="27">
        <f>Specification!D36</f>
        <v>0</v>
      </c>
      <c r="E36" s="23"/>
      <c r="F36" s="19"/>
      <c r="G36" s="47" t="str">
        <f t="shared" ref="G36:G51" si="1">IF(MID(B36,1,1)="X",C36,"")</f>
        <v/>
      </c>
      <c r="H36" s="19"/>
    </row>
    <row r="37" spans="1:8" x14ac:dyDescent="0.25">
      <c r="A37" s="24" t="str">
        <f>Specification!B37</f>
        <v xml:space="preserve"> - </v>
      </c>
      <c r="B37" s="25" t="str">
        <f>Specification!E37</f>
        <v>-</v>
      </c>
      <c r="C37" s="26" t="str">
        <f>Specification!C37</f>
        <v>COMMUNICATION SETTINGS</v>
      </c>
      <c r="D37" s="27" t="str">
        <f>Specification!D37</f>
        <v xml:space="preserve"> - </v>
      </c>
      <c r="E37" s="23"/>
      <c r="F37" s="19"/>
      <c r="G37" s="47" t="str">
        <f t="shared" si="1"/>
        <v/>
      </c>
      <c r="H37" s="19"/>
    </row>
    <row r="38" spans="1:8" x14ac:dyDescent="0.25">
      <c r="A38" s="24">
        <f>Specification!B38</f>
        <v>38</v>
      </c>
      <c r="B38" s="25" t="str">
        <f>Specification!E38</f>
        <v/>
      </c>
      <c r="C38" s="26" t="str">
        <f>Specification!C38</f>
        <v>Interface</v>
      </c>
      <c r="D38" s="27">
        <f>Specification!D38</f>
        <v>0</v>
      </c>
      <c r="E38" s="23"/>
      <c r="F38" s="19"/>
      <c r="G38" s="47" t="str">
        <f t="shared" si="1"/>
        <v/>
      </c>
      <c r="H38" s="19"/>
    </row>
    <row r="39" spans="1:8" x14ac:dyDescent="0.25">
      <c r="A39" s="24">
        <f>Specification!B39</f>
        <v>39</v>
      </c>
      <c r="B39" s="25" t="str">
        <f>Specification!E39</f>
        <v/>
      </c>
      <c r="C39" s="26" t="str">
        <f>Specification!C39</f>
        <v>Address - enter from 1 to 247</v>
      </c>
      <c r="D39" s="27">
        <f>Specification!D39</f>
        <v>0</v>
      </c>
      <c r="E39" s="23"/>
      <c r="F39" s="19"/>
      <c r="G39" s="47" t="str">
        <f t="shared" si="1"/>
        <v/>
      </c>
      <c r="H39" s="19"/>
    </row>
    <row r="40" spans="1:8" x14ac:dyDescent="0.25">
      <c r="A40" s="24">
        <f>Specification!B40</f>
        <v>40</v>
      </c>
      <c r="B40" s="25" t="str">
        <f>Specification!E40</f>
        <v/>
      </c>
      <c r="C40" s="26" t="str">
        <f>Specification!C40</f>
        <v>Transmission speed</v>
      </c>
      <c r="D40" s="27">
        <f>Specification!D40</f>
        <v>0</v>
      </c>
      <c r="E40" s="23"/>
      <c r="F40" s="19"/>
      <c r="G40" s="47" t="str">
        <f t="shared" si="1"/>
        <v/>
      </c>
      <c r="H40" s="19"/>
    </row>
    <row r="41" spans="1:8" x14ac:dyDescent="0.25">
      <c r="A41" s="24">
        <f>Specification!B41</f>
        <v>41</v>
      </c>
      <c r="B41" s="25" t="str">
        <f>Specification!E41</f>
        <v/>
      </c>
      <c r="C41" s="26" t="str">
        <f>Specification!C41</f>
        <v>HART®</v>
      </c>
      <c r="D41" s="27" t="str">
        <f>Specification!D41</f>
        <v>NOT requested</v>
      </c>
      <c r="E41" s="23"/>
      <c r="F41" s="19"/>
      <c r="G41" s="47" t="str">
        <f t="shared" si="1"/>
        <v/>
      </c>
      <c r="H41" s="19"/>
    </row>
    <row r="42" spans="1:8" x14ac:dyDescent="0.25">
      <c r="A42" s="24">
        <f>Specification!B42</f>
        <v>42</v>
      </c>
      <c r="B42" s="25" t="str">
        <f>Specification!E42</f>
        <v/>
      </c>
      <c r="C42" s="26" t="str">
        <f>Specification!C42</f>
        <v>FLOSET 4.0 with accessories</v>
      </c>
      <c r="D42" s="27">
        <f>Specification!D42</f>
        <v>0</v>
      </c>
      <c r="E42" s="23"/>
      <c r="F42" s="19"/>
      <c r="G42" s="47" t="str">
        <f t="shared" si="1"/>
        <v/>
      </c>
      <c r="H42" s="19"/>
    </row>
    <row r="43" spans="1:8" x14ac:dyDescent="0.25">
      <c r="A43" s="24" t="str">
        <f>Specification!B43</f>
        <v xml:space="preserve"> - </v>
      </c>
      <c r="B43" s="25" t="str">
        <f>Specification!E43</f>
        <v>-</v>
      </c>
      <c r="C43" s="26" t="str">
        <f>Specification!C43</f>
        <v>CALIBRATION</v>
      </c>
      <c r="D43" s="27" t="str">
        <f>Specification!D43</f>
        <v xml:space="preserve"> - </v>
      </c>
      <c r="E43" s="23"/>
      <c r="F43" s="19"/>
      <c r="G43" s="47" t="str">
        <f t="shared" si="1"/>
        <v/>
      </c>
      <c r="H43" s="19"/>
    </row>
    <row r="44" spans="1:8" x14ac:dyDescent="0.25">
      <c r="A44" s="24">
        <f>Specification!B44</f>
        <v>44</v>
      </c>
      <c r="B44" s="25" t="str">
        <f>Specification!E44</f>
        <v/>
      </c>
      <c r="C44" s="26" t="str">
        <f>Specification!C44</f>
        <v>Calibration requirement</v>
      </c>
      <c r="D44" s="27">
        <f>Specification!D44</f>
        <v>0</v>
      </c>
      <c r="E44" s="23"/>
      <c r="F44" s="19"/>
      <c r="G44" s="47" t="str">
        <f t="shared" si="1"/>
        <v/>
      </c>
      <c r="H44" s="19"/>
    </row>
    <row r="45" spans="1:8" x14ac:dyDescent="0.25">
      <c r="A45" s="24" t="str">
        <f>Specification!B45</f>
        <v xml:space="preserve"> - </v>
      </c>
      <c r="B45" s="25" t="str">
        <f>Specification!E45</f>
        <v>-</v>
      </c>
      <c r="C45" s="26" t="str">
        <f>Specification!C45</f>
        <v>PURCHASE CONDITIONS</v>
      </c>
      <c r="D45" s="27" t="str">
        <f>Specification!D45</f>
        <v xml:space="preserve"> - </v>
      </c>
      <c r="E45" s="23"/>
      <c r="F45" s="19"/>
      <c r="G45" s="47" t="str">
        <f t="shared" si="1"/>
        <v/>
      </c>
      <c r="H45" s="19"/>
    </row>
    <row r="46" spans="1:8" x14ac:dyDescent="0.25">
      <c r="A46" s="24">
        <f>Specification!B46</f>
        <v>46</v>
      </c>
      <c r="B46" s="25" t="str">
        <f>Specification!E46</f>
        <v/>
      </c>
      <c r="C46" s="26" t="str">
        <f>Specification!C46</f>
        <v>Number of pieces</v>
      </c>
      <c r="D46" s="27">
        <f>Specification!D46</f>
        <v>0</v>
      </c>
      <c r="E46" s="23"/>
      <c r="F46" s="19"/>
      <c r="G46" s="47" t="str">
        <f t="shared" si="1"/>
        <v/>
      </c>
      <c r="H46" s="19"/>
    </row>
    <row r="47" spans="1:8" x14ac:dyDescent="0.25">
      <c r="A47" s="24">
        <f>Specification!B47</f>
        <v>47</v>
      </c>
      <c r="B47" s="25" t="str">
        <f>Specification!E47</f>
        <v/>
      </c>
      <c r="C47" s="26" t="str">
        <f>Specification!C47</f>
        <v>Packaging</v>
      </c>
      <c r="D47" s="27">
        <f>Specification!D47</f>
        <v>0</v>
      </c>
      <c r="E47" s="23"/>
      <c r="F47" s="19"/>
      <c r="G47" s="47" t="str">
        <f t="shared" si="1"/>
        <v/>
      </c>
      <c r="H47" s="19"/>
    </row>
    <row r="48" spans="1:8" x14ac:dyDescent="0.25">
      <c r="A48" s="24">
        <f>Specification!B48</f>
        <v>48</v>
      </c>
      <c r="B48" s="25" t="str">
        <f>Specification!E48</f>
        <v/>
      </c>
      <c r="C48" s="26" t="str">
        <f>Specification!C48</f>
        <v>Delivery</v>
      </c>
      <c r="D48" s="27">
        <f>Specification!D48</f>
        <v>0</v>
      </c>
      <c r="E48" s="23"/>
      <c r="F48" s="19"/>
      <c r="G48" s="47" t="str">
        <f t="shared" si="1"/>
        <v/>
      </c>
      <c r="H48" s="19"/>
    </row>
    <row r="49" spans="1:8" x14ac:dyDescent="0.25">
      <c r="A49" s="24">
        <f>Specification!B49</f>
        <v>49</v>
      </c>
      <c r="B49" s="25" t="str">
        <f>Specification!E49</f>
        <v/>
      </c>
      <c r="C49" s="26" t="str">
        <f>Specification!C49</f>
        <v>Warranty</v>
      </c>
      <c r="D49" s="27">
        <f>Specification!D49</f>
        <v>0</v>
      </c>
      <c r="E49" s="23"/>
      <c r="F49" s="19"/>
      <c r="G49" s="47" t="str">
        <f t="shared" si="1"/>
        <v/>
      </c>
      <c r="H49" s="19"/>
    </row>
    <row r="50" spans="1:8" x14ac:dyDescent="0.25">
      <c r="A50" s="24" t="str">
        <f>Specification!B50</f>
        <v xml:space="preserve"> - </v>
      </c>
      <c r="B50" s="25" t="str">
        <f>Specification!E50</f>
        <v>-</v>
      </c>
      <c r="C50" s="26" t="str">
        <f>Specification!C50</f>
        <v>RELATED REGULATIONS</v>
      </c>
      <c r="D50" s="27" t="str">
        <f>Specification!D50</f>
        <v xml:space="preserve"> - </v>
      </c>
      <c r="E50" s="23"/>
      <c r="F50" s="19"/>
      <c r="G50" s="47" t="str">
        <f t="shared" si="1"/>
        <v/>
      </c>
      <c r="H50" s="19"/>
    </row>
    <row r="51" spans="1:8" x14ac:dyDescent="0.25">
      <c r="A51" s="24">
        <f>Specification!B51</f>
        <v>51</v>
      </c>
      <c r="B51" s="25">
        <f>Specification!E51</f>
        <v>1</v>
      </c>
      <c r="C51" s="26" t="str">
        <f>Specification!C51</f>
        <v>Number of manual flowmeter</v>
      </c>
      <c r="D51" s="27" t="str">
        <f>Specification!D51</f>
        <v>Es90736K</v>
      </c>
      <c r="E51" s="23"/>
      <c r="F51" s="19"/>
      <c r="G51" s="47" t="str">
        <f t="shared" si="1"/>
        <v/>
      </c>
    </row>
  </sheetData>
  <sheetProtection algorithmName="SHA-512" hashValue="xq8iPE1GOh9TuFykQmBk5VLxNMrk+6rPd0eBDNmB2Bl3m90JVVqHrQflVfuObXbEiyKapfSlb80Kal3KogDYmA==" saltValue="0eMPa4rmFfUaxwyn+G/zG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Specification</vt:lpstr>
      <vt:lpstr>List1</vt:lpstr>
      <vt:lpstr>Data</vt:lpstr>
      <vt:lpstr>Pulse numbers</vt:lpstr>
      <vt:lpstr>Tech</vt:lpstr>
      <vt:lpstr>gal_m3</vt:lpstr>
      <vt:lpstr>Hodnoty</vt:lpstr>
      <vt:lpstr>HodnotyHW</vt:lpstr>
      <vt:lpstr>KodyOC</vt:lpstr>
      <vt:lpstr>KodyOC_HW</vt:lpstr>
      <vt:lpstr>NezadanHW</vt:lpstr>
      <vt:lpstr>Nezadano</vt:lpstr>
      <vt:lpstr>Specification!Oblast_tisku</vt:lpstr>
      <vt:lpstr>OC_AV</vt:lpstr>
      <vt:lpstr>OC_B</vt:lpstr>
      <vt:lpstr>OC_DC</vt:lpstr>
      <vt:lpstr>OC_DCkod</vt:lpstr>
      <vt:lpstr>OC_DK</vt:lpstr>
      <vt:lpstr>OC_F4vp</vt:lpstr>
      <vt:lpstr>OC_FOUT1</vt:lpstr>
      <vt:lpstr>OC_FOUT2</vt:lpstr>
      <vt:lpstr>OC_H</vt:lpstr>
      <vt:lpstr>OC_IC</vt:lpstr>
      <vt:lpstr>OC_JIC</vt:lpstr>
      <vt:lpstr>OC_JO</vt:lpstr>
      <vt:lpstr>OC_JP</vt:lpstr>
      <vt:lpstr>OC_JT</vt:lpstr>
      <vt:lpstr>OC_JTkod</vt:lpstr>
      <vt:lpstr>OC_KC</vt:lpstr>
      <vt:lpstr>OC_KPP</vt:lpstr>
      <vt:lpstr>OC_KSE</vt:lpstr>
      <vt:lpstr>OC_MC</vt:lpstr>
      <vt:lpstr>OC_MCkod</vt:lpstr>
      <vt:lpstr>OC_ME</vt:lpstr>
      <vt:lpstr>OC_MP</vt:lpstr>
      <vt:lpstr>OC_MPTM</vt:lpstr>
      <vt:lpstr>OC_MT</vt:lpstr>
      <vt:lpstr>OC_N</vt:lpstr>
      <vt:lpstr>OC_NM</vt:lpstr>
      <vt:lpstr>OC_PMC</vt:lpstr>
      <vt:lpstr>OC_Prut</vt:lpstr>
      <vt:lpstr>OC_PVpP</vt:lpstr>
      <vt:lpstr>OC_R</vt:lpstr>
      <vt:lpstr>OC_RP</vt:lpstr>
      <vt:lpstr>OC_VC</vt:lpstr>
      <vt:lpstr>OC_VCkod</vt:lpstr>
      <vt:lpstr>OC_VOUT1</vt:lpstr>
      <vt:lpstr>OC_VOUT2</vt:lpstr>
      <vt:lpstr>OC_Z</vt:lpstr>
      <vt:lpstr>OC_ZE</vt:lpstr>
      <vt:lpstr>OC_ZJ</vt:lpstr>
      <vt:lpstr>OC_ZK</vt:lpstr>
      <vt:lpstr>OC_Zobr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Vladimír Chvojka</cp:lastModifiedBy>
  <cp:revision>1</cp:revision>
  <cp:lastPrinted>2024-01-24T10:50:44Z</cp:lastPrinted>
  <dcterms:created xsi:type="dcterms:W3CDTF">2022-02-22T10:27:33Z</dcterms:created>
  <dcterms:modified xsi:type="dcterms:W3CDTF">2024-05-16T10:48:05Z</dcterms:modified>
</cp:coreProperties>
</file>