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ladimir.chvojka\Documents\_ROZPRAC\_SpecTab\Hotové\"/>
    </mc:Choice>
  </mc:AlternateContent>
  <xr:revisionPtr revIDLastSave="0" documentId="13_ncr:1_{9343B6CD-E0F8-4727-8DFF-DCBF509F44A3}" xr6:coauthVersionLast="45" xr6:coauthVersionMax="45" xr10:uidLastSave="{00000000-0000-0000-0000-000000000000}"/>
  <workbookProtection workbookAlgorithmName="SHA-512" workbookHashValue="zIUAr20yglUh+3Q8xKlgRbSqDyfhdPVeH4EZlwjrhqKzjdj4p6BD+Hwla0ZvgrVIt1Q/hXJ7712E//9v33EFCg==" workbookSaltValue="GCUzXwPRKDtp2xQxn1IBXQ==" workbookSpinCount="100000" lockStructure="1"/>
  <bookViews>
    <workbookView xWindow="-120" yWindow="-120" windowWidth="29040" windowHeight="15840" xr2:uid="{00000000-000D-0000-FFFF-FFFF00000000}"/>
  </bookViews>
  <sheets>
    <sheet name="Specifikace" sheetId="1" r:id="rId1"/>
    <sheet name="Data" sheetId="2" state="hidden" r:id="rId2"/>
    <sheet name="Tech" sheetId="3" state="hidden" r:id="rId3"/>
    <sheet name="Dekod" sheetId="7" state="hidden" r:id="rId4"/>
  </sheets>
  <definedNames>
    <definedName name="Hodnoty" localSheetId="3">Dekod!$D$7:$D$55</definedName>
    <definedName name="Hodnoty">Specifikace!$D$4:$D$21</definedName>
    <definedName name="HodnotyHW" localSheetId="3">Dekod!$D$7:$D$23</definedName>
    <definedName name="HodnotyHW">Specifikace!$D$4:$D$7</definedName>
    <definedName name="KodyOC" localSheetId="3">Dekod!$E$7:$E$55</definedName>
    <definedName name="KodyOC">Specifikace!$E$4:$E$21</definedName>
    <definedName name="KodyOC_HW" localSheetId="3">Dekod!$E$7:$E$23</definedName>
    <definedName name="KodyOC_HW">Specifikace!$E$4:$E$7</definedName>
    <definedName name="NezadanHW">Tech!$F$2</definedName>
    <definedName name="Nezadano">Tech!$F$1</definedName>
    <definedName name="_xlnm.Print_Area" localSheetId="3">Dekod!$B$1:$F$62</definedName>
    <definedName name="_xlnm.Print_Area" localSheetId="0">Specifikace!$B$1:$E$38</definedName>
    <definedName name="OC_ACH">Data!#REF!</definedName>
    <definedName name="OC_B">Data!$A$61:$A$63</definedName>
    <definedName name="OC_BV">Data!#REF!</definedName>
    <definedName name="OC_CE">Data!#REF!</definedName>
    <definedName name="OC_D">Data!#REF!</definedName>
    <definedName name="OC_D2R">Data!#REF!</definedName>
    <definedName name="OC_DC">Data!$A$2:$A$15</definedName>
    <definedName name="OC_DK">Data!$A$27:$A$31</definedName>
    <definedName name="OC_DM">Data!#REF!</definedName>
    <definedName name="OC_DTdPED">Data!#REF!</definedName>
    <definedName name="OC_FV">Data!#REF!</definedName>
    <definedName name="OC_IC">Data!#REF!</definedName>
    <definedName name="OC_INP">Data!#REF!</definedName>
    <definedName name="OC_JH">Data!#REF!</definedName>
    <definedName name="OC_JHP">Data!#REF!</definedName>
    <definedName name="OC_JIC">Data!#REF!</definedName>
    <definedName name="OC_JO">Data!$A$36:$A$38</definedName>
    <definedName name="OC_JOP">Data!$A$40:$A$42</definedName>
    <definedName name="OC_JR">Data!#REF!</definedName>
    <definedName name="OC_JT">Data!#REF!</definedName>
    <definedName name="OC_JTep">Data!#REF!</definedName>
    <definedName name="OC_JZP">Data!#REF!</definedName>
    <definedName name="OC_KC">Data!#REF!</definedName>
    <definedName name="OC_KCsS">Data!$A$24:$A$25</definedName>
    <definedName name="OC_KdPED">Data!#REF!</definedName>
    <definedName name="OC_MaPUC">Data!#REF!</definedName>
    <definedName name="OC_MDT">Data!#REF!</definedName>
    <definedName name="OC_ME">Data!#REF!</definedName>
    <definedName name="OC_MP">Data!$A$50:$A$57</definedName>
    <definedName name="OC_MPTM">Data!#REF!</definedName>
    <definedName name="OC_MT">Data!#REF!</definedName>
    <definedName name="OC_MVP">Data!#REF!</definedName>
    <definedName name="OC_N">Data!#REF!</definedName>
    <definedName name="OC_NM">Data!#REF!</definedName>
    <definedName name="OC_P">Data!#REF!</definedName>
    <definedName name="OC_PC">Data!$A$17:$A$22</definedName>
    <definedName name="OC_PMC">Data!#REF!</definedName>
    <definedName name="OC_PV">Data!$A$33:$A$34</definedName>
    <definedName name="OC_PVpP">Data!#REF!</definedName>
    <definedName name="OC_R">Data!$A$44:$A$48</definedName>
    <definedName name="OC_RP">Data!#REF!</definedName>
    <definedName name="OC_SVE">Data!#REF!</definedName>
    <definedName name="OC_UMT">Data!#REF!</definedName>
    <definedName name="OC_VaPP">Data!#REF!</definedName>
    <definedName name="OC_VC">Data!#REF!</definedName>
    <definedName name="OC_VD">Data!#REF!</definedName>
    <definedName name="OC_Z">Data!$A$70:$A$75</definedName>
    <definedName name="OC_ZE">Data!#REF!</definedName>
    <definedName name="OC_ZJ">Data!#REF!</definedName>
    <definedName name="OC_ZK">Data!#REF!</definedName>
    <definedName name="OC_ZP">Data!$A$65:$A$68</definedName>
    <definedName name="Parametry" localSheetId="3">Dekod!$B$6:$C$55</definedName>
    <definedName name="Parametry">Specifikace!$B$4:$C$22</definedName>
    <definedName name="Preddef_hodn">Data!$A$1:$B$75</definedName>
    <definedName name="SoupisNP">Tech!$H$1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E6" i="1" l="1"/>
  <c r="E7" i="1" l="1"/>
  <c r="E14" i="1" l="1"/>
  <c r="E13" i="1"/>
  <c r="E12" i="1"/>
  <c r="E11" i="1"/>
  <c r="E10" i="1" l="1"/>
  <c r="E8" i="1"/>
  <c r="E5" i="1" l="1"/>
  <c r="D21" i="1" l="1"/>
  <c r="E21" i="1"/>
  <c r="H6" i="1"/>
  <c r="E55" i="7" l="1"/>
  <c r="D55" i="7" s="1"/>
  <c r="E53" i="7"/>
  <c r="D53" i="7" s="1"/>
  <c r="E52" i="7"/>
  <c r="D52" i="7" s="1"/>
  <c r="E51" i="7"/>
  <c r="D51" i="7" s="1"/>
  <c r="E50" i="7" l="1"/>
  <c r="D50" i="7" s="1"/>
  <c r="E48" i="7"/>
  <c r="D48" i="7" s="1"/>
  <c r="E46" i="7" l="1"/>
  <c r="D46" i="7" s="1"/>
  <c r="E45" i="7"/>
  <c r="D45" i="7" s="1"/>
  <c r="E44" i="7"/>
  <c r="D44" i="7" s="1"/>
  <c r="E43" i="7" l="1"/>
  <c r="D43" i="7" s="1"/>
  <c r="E42" i="7"/>
  <c r="D42" i="7" s="1"/>
  <c r="E40" i="7"/>
  <c r="D40" i="7" s="1"/>
  <c r="E39" i="7"/>
  <c r="D39" i="7" s="1"/>
  <c r="E38" i="7"/>
  <c r="D38" i="7" s="1"/>
  <c r="E37" i="7"/>
  <c r="D37" i="7" s="1"/>
  <c r="E36" i="7"/>
  <c r="D36" i="7" s="1"/>
  <c r="E35" i="7"/>
  <c r="D35" i="7" s="1"/>
  <c r="E34" i="7"/>
  <c r="D34" i="7" s="1"/>
  <c r="E33" i="7"/>
  <c r="D33" i="7" s="1"/>
  <c r="E32" i="7"/>
  <c r="D32" i="7" s="1"/>
  <c r="E31" i="7"/>
  <c r="D31" i="7" s="1"/>
  <c r="E30" i="7"/>
  <c r="D30" i="7" s="1"/>
  <c r="E29" i="7"/>
  <c r="D29" i="7" s="1"/>
  <c r="E28" i="7"/>
  <c r="D28" i="7" s="1"/>
  <c r="E27" i="7"/>
  <c r="D27" i="7" s="1"/>
  <c r="E26" i="7"/>
  <c r="D26" i="7" s="1"/>
  <c r="E25" i="7"/>
  <c r="D25" i="7" s="1"/>
  <c r="E23" i="7"/>
  <c r="D23" i="7" s="1"/>
  <c r="E22" i="7"/>
  <c r="D22" i="7" s="1"/>
  <c r="E21" i="7"/>
  <c r="D21" i="7" s="1"/>
  <c r="E20" i="7"/>
  <c r="D20" i="7" s="1"/>
  <c r="E19" i="7"/>
  <c r="D19" i="7" s="1"/>
  <c r="E18" i="7" l="1"/>
  <c r="D18" i="7" s="1"/>
  <c r="E17" i="7"/>
  <c r="D17" i="7" s="1"/>
  <c r="E16" i="7" l="1"/>
  <c r="D16" i="7" s="1"/>
  <c r="E15" i="7"/>
  <c r="D15" i="7" s="1"/>
  <c r="E14" i="7"/>
  <c r="D14" i="7" s="1"/>
  <c r="E13" i="7"/>
  <c r="D13" i="7" s="1"/>
  <c r="E12" i="7"/>
  <c r="D12" i="7" s="1"/>
  <c r="E11" i="7"/>
  <c r="E10" i="7"/>
  <c r="D10" i="7" s="1"/>
  <c r="E7" i="7"/>
  <c r="A9" i="3" l="1"/>
  <c r="C9" i="3"/>
  <c r="D9" i="3"/>
  <c r="A10" i="3"/>
  <c r="B10" i="3"/>
  <c r="C10" i="3"/>
  <c r="D10" i="3"/>
  <c r="A11" i="3"/>
  <c r="C11" i="3"/>
  <c r="D11" i="3"/>
  <c r="A12" i="3"/>
  <c r="C12" i="3"/>
  <c r="D12" i="3"/>
  <c r="A13" i="3"/>
  <c r="C13" i="3"/>
  <c r="D13" i="3"/>
  <c r="A14" i="3"/>
  <c r="C14" i="3"/>
  <c r="D14" i="3"/>
  <c r="A15" i="3"/>
  <c r="C15" i="3"/>
  <c r="D15" i="3"/>
  <c r="A16" i="3"/>
  <c r="B16" i="3"/>
  <c r="C16" i="3"/>
  <c r="D16" i="3"/>
  <c r="A17" i="3"/>
  <c r="C17" i="3"/>
  <c r="D17" i="3"/>
  <c r="A18" i="3"/>
  <c r="C18" i="3"/>
  <c r="D18" i="3"/>
  <c r="A19" i="3"/>
  <c r="C19" i="3"/>
  <c r="D19" i="3"/>
  <c r="A20" i="3"/>
  <c r="C20" i="3"/>
  <c r="D20" i="3"/>
  <c r="A21" i="3"/>
  <c r="B21" i="3"/>
  <c r="C21" i="3"/>
  <c r="D21" i="3"/>
  <c r="A22" i="3"/>
  <c r="C22" i="3"/>
  <c r="A8" i="3"/>
  <c r="C8" i="3"/>
  <c r="D8" i="3"/>
  <c r="A5" i="3"/>
  <c r="C5" i="3"/>
  <c r="D5" i="3"/>
  <c r="A6" i="3"/>
  <c r="C6" i="3"/>
  <c r="D6" i="3"/>
  <c r="A7" i="3"/>
  <c r="C7" i="3"/>
  <c r="D7" i="3"/>
  <c r="B14" i="3" l="1"/>
  <c r="B11" i="3" l="1"/>
  <c r="B9" i="3"/>
  <c r="B5" i="3" l="1"/>
  <c r="B13" i="3" l="1"/>
  <c r="B12" i="3"/>
  <c r="B8" i="3" l="1"/>
  <c r="B15" i="3" l="1"/>
  <c r="B6" i="3"/>
  <c r="D7" i="7"/>
  <c r="D11" i="7"/>
  <c r="E8" i="7"/>
  <c r="D8" i="7" s="1"/>
  <c r="B22" i="3" l="1"/>
  <c r="D22" i="3"/>
  <c r="E17" i="1"/>
  <c r="B18" i="3" s="1"/>
  <c r="E16" i="1" l="1"/>
  <c r="B17" i="3" s="1"/>
  <c r="B7" i="3" l="1"/>
  <c r="G5" i="3"/>
  <c r="G17" i="3"/>
  <c r="G10" i="3" l="1"/>
  <c r="G9" i="3" l="1"/>
  <c r="G16" i="3" l="1"/>
  <c r="G8" i="3" l="1"/>
  <c r="E19" i="1" l="1"/>
  <c r="B20" i="3" s="1"/>
  <c r="G20" i="3" s="1"/>
  <c r="E18" i="1"/>
  <c r="B19" i="3" s="1"/>
  <c r="G19" i="3" s="1"/>
  <c r="G18" i="3" l="1"/>
  <c r="G15" i="3"/>
  <c r="G22" i="3"/>
  <c r="G21" i="3"/>
  <c r="F2" i="3" l="1"/>
  <c r="C26" i="1" s="1"/>
  <c r="G14" i="3"/>
  <c r="G11" i="3"/>
  <c r="D26" i="1" l="1"/>
  <c r="G12" i="3"/>
  <c r="G13" i="3"/>
  <c r="G7" i="3"/>
  <c r="G6" i="3" l="1"/>
  <c r="H1" i="3" s="1"/>
  <c r="G29" i="1" l="1"/>
  <c r="F1" i="3" l="1"/>
  <c r="C25" i="1" s="1"/>
  <c r="I27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D1" authorId="0" shapeId="0" xr:uid="{00000000-0006-0000-0000-000001000000}">
      <text>
        <r>
          <rPr>
            <sz val="9"/>
            <color indexed="81"/>
            <rFont val="Tahoma"/>
            <family val="2"/>
            <charset val="238"/>
          </rPr>
          <t xml:space="preserve">Slouží pro specifikaci průtokoměrů </t>
        </r>
        <r>
          <rPr>
            <b/>
            <sz val="9"/>
            <color indexed="81"/>
            <rFont val="Tahoma"/>
            <family val="2"/>
            <charset val="238"/>
          </rPr>
          <t>SE401x, SE402x</t>
        </r>
        <r>
          <rPr>
            <sz val="9"/>
            <color indexed="81"/>
            <rFont val="Tahoma"/>
            <family val="2"/>
            <charset val="238"/>
          </rPr>
          <t>,</t>
        </r>
        <r>
          <rPr>
            <b/>
            <sz val="9"/>
            <color indexed="81"/>
            <rFont val="Tahoma"/>
            <family val="2"/>
            <charset val="238"/>
          </rPr>
          <t xml:space="preserve"> SE404x </t>
        </r>
        <r>
          <rPr>
            <sz val="9"/>
            <color indexed="81"/>
            <rFont val="Tahoma"/>
            <family val="2"/>
            <charset val="238"/>
          </rPr>
          <t xml:space="preserve">a </t>
        </r>
        <r>
          <rPr>
            <b/>
            <sz val="9"/>
            <color indexed="81"/>
            <rFont val="Tahoma"/>
            <family val="2"/>
            <charset val="238"/>
          </rPr>
          <t>SE406x</t>
        </r>
        <r>
          <rPr>
            <sz val="9"/>
            <color indexed="81"/>
            <rFont val="Tahoma"/>
            <family val="2"/>
            <charset val="238"/>
          </rPr>
          <t xml:space="preserve"> (nikoliv pro </t>
        </r>
        <r>
          <rPr>
            <b/>
            <sz val="9"/>
            <color indexed="81"/>
            <rFont val="Tahoma"/>
            <family val="2"/>
            <charset val="238"/>
          </rPr>
          <t>SE409x</t>
        </r>
        <r>
          <rPr>
            <sz val="9"/>
            <color indexed="81"/>
            <rFont val="Tahoma"/>
            <family val="2"/>
            <charset val="238"/>
          </rPr>
          <t>)</t>
        </r>
        <r>
          <rPr>
            <sz val="9"/>
            <color indexed="81"/>
            <rFont val="Tahoma"/>
            <family val="2"/>
            <charset val="238"/>
          </rPr>
          <t xml:space="preserve">
</t>
        </r>
      </text>
    </comment>
    <comment ref="D5" authorId="0" shapeId="0" xr:uid="{00000000-0006-0000-0000-000002000000}">
      <text>
        <r>
          <rPr>
            <sz val="9"/>
            <color indexed="81"/>
            <rFont val="Tahoma"/>
            <family val="2"/>
            <charset val="238"/>
          </rPr>
          <t>Dimensions EN (ASME/AWWA ...) ˜ Qmax for the velocity 10m/s.
A size NPS by flanges AWWA (28“ and more) is indicative only. Accurate diameters aren’t defined in the standard.</t>
        </r>
      </text>
    </comment>
    <comment ref="D14" authorId="0" shapeId="0" xr:uid="{00000000-0006-0000-0000-000007000000}">
      <text>
        <r>
          <rPr>
            <sz val="9"/>
            <color indexed="81"/>
            <rFont val="Tahoma"/>
            <family val="2"/>
            <charset val="238"/>
          </rPr>
          <t>You will always receive a calibration certificate (protocol) when calibrating.</t>
        </r>
      </text>
    </comment>
    <comment ref="D22" authorId="0" shapeId="0" xr:uid="{00000000-0006-0000-0000-000008000000}">
      <text>
        <r>
          <rPr>
            <b/>
            <sz val="9"/>
            <color indexed="81"/>
            <rFont val="Tahoma"/>
            <family val="2"/>
            <charset val="238"/>
          </rPr>
          <t xml:space="preserve">Product IDO </t>
        </r>
        <r>
          <rPr>
            <sz val="9"/>
            <color indexed="81"/>
            <rFont val="Tahoma"/>
            <family val="2"/>
            <charset val="238"/>
          </rPr>
          <t>(Bill of Material No. incl. execution) is entered here by an authorized ELIS employee, if the product is in the Helios database.</t>
        </r>
      </text>
    </comment>
    <comment ref="C29" authorId="0" shapeId="0" xr:uid="{00000000-0006-0000-0000-000009000000}">
      <text>
        <r>
          <rPr>
            <sz val="9"/>
            <color indexed="81"/>
            <rFont val="Tahoma"/>
            <family val="2"/>
            <charset val="238"/>
          </rPr>
          <t>To type in this field, double-click in the field (</t>
        </r>
        <r>
          <rPr>
            <b/>
            <sz val="9"/>
            <color indexed="81"/>
            <rFont val="Tahoma"/>
            <family val="2"/>
            <charset val="238"/>
          </rPr>
          <t>double click</t>
        </r>
        <r>
          <rPr>
            <sz val="9"/>
            <color indexed="81"/>
            <rFont val="Tahoma"/>
            <family val="2"/>
            <charset val="238"/>
          </rPr>
          <t xml:space="preserve"> - the cursor appears ...).
(New Line = </t>
        </r>
        <r>
          <rPr>
            <b/>
            <sz val="9"/>
            <color indexed="81"/>
            <rFont val="Tahoma"/>
            <family val="2"/>
            <charset val="238"/>
          </rPr>
          <t>Alt + Enter</t>
        </r>
        <r>
          <rPr>
            <sz val="9"/>
            <color indexed="81"/>
            <rFont val="Tahoma"/>
            <family val="2"/>
            <charset val="238"/>
          </rPr>
          <t>)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A9" authorId="0" shapeId="0" xr:uid="{B6A04FD0-AA5C-4547-8DDD-B42F9215F7DF}">
      <text>
        <r>
          <rPr>
            <sz val="9"/>
            <color indexed="81"/>
            <rFont val="Tahoma"/>
            <family val="2"/>
            <charset val="238"/>
          </rPr>
          <t xml:space="preserve">Poslední dimenze dle ASME
</t>
        </r>
      </text>
    </comment>
    <comment ref="A10" authorId="0" shapeId="0" xr:uid="{688D7D9D-4C72-4E1B-8510-44BBE7D7B930}">
      <text>
        <r>
          <rPr>
            <sz val="9"/>
            <color indexed="81"/>
            <rFont val="Tahoma"/>
            <family val="2"/>
            <charset val="238"/>
          </rPr>
          <t xml:space="preserve">Standard: Nejmenší dimenze dle AWWA
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Vladimír Chvojka</author>
  </authors>
  <commentList>
    <comment ref="C4" authorId="0" shapeId="0" xr:uid="{00000000-0006-0000-0300-000001000000}">
      <text>
        <r>
          <rPr>
            <sz val="9"/>
            <color indexed="81"/>
            <rFont val="Tahoma"/>
            <family val="2"/>
            <charset val="238"/>
          </rPr>
          <t xml:space="preserve">Zde vložte obj. číslo, které chcete dekódovat. Nejvhodnější vložení je kopírováním, ale vždy jej proveďte funkcí </t>
        </r>
        <r>
          <rPr>
            <b/>
            <sz val="9"/>
            <color indexed="81"/>
            <rFont val="Tahoma"/>
            <family val="2"/>
            <charset val="238"/>
          </rPr>
          <t>Vložit hodnoty</t>
        </r>
        <r>
          <rPr>
            <sz val="9"/>
            <color indexed="81"/>
            <rFont val="Tahoma"/>
            <family val="2"/>
            <charset val="238"/>
          </rPr>
          <t xml:space="preserve">!
</t>
        </r>
      </text>
    </comment>
    <comment ref="C58" authorId="0" shapeId="0" xr:uid="{00000000-0006-0000-0300-000002000000}">
      <text>
        <r>
          <rPr>
            <sz val="9"/>
            <color indexed="81"/>
            <rFont val="Tahoma"/>
            <family val="2"/>
            <charset val="238"/>
          </rPr>
          <t xml:space="preserve">Abyste mohli do tohoto pole zapisovat, </t>
        </r>
        <r>
          <rPr>
            <b/>
            <sz val="9"/>
            <color indexed="81"/>
            <rFont val="Tahoma"/>
            <family val="2"/>
            <charset val="238"/>
          </rPr>
          <t>poklepejte</t>
        </r>
        <r>
          <rPr>
            <sz val="9"/>
            <color indexed="81"/>
            <rFont val="Tahoma"/>
            <family val="2"/>
            <charset val="238"/>
          </rPr>
          <t xml:space="preserve"> v něm myší (2x klepněte - zobrazí se kurzor ...). 
(Nový řádek = </t>
        </r>
        <r>
          <rPr>
            <b/>
            <sz val="9"/>
            <color indexed="81"/>
            <rFont val="Tahoma"/>
            <family val="2"/>
            <charset val="238"/>
          </rPr>
          <t>Alt</t>
        </r>
        <r>
          <rPr>
            <sz val="9"/>
            <color indexed="81"/>
            <rFont val="Tahoma"/>
            <family val="2"/>
            <charset val="238"/>
          </rPr>
          <t>+</t>
        </r>
        <r>
          <rPr>
            <b/>
            <sz val="9"/>
            <color indexed="81"/>
            <rFont val="Tahoma"/>
            <family val="2"/>
            <charset val="238"/>
          </rPr>
          <t>Ente</t>
        </r>
        <r>
          <rPr>
            <sz val="9"/>
            <color indexed="81"/>
            <rFont val="Tahoma"/>
            <family val="2"/>
            <charset val="238"/>
          </rPr>
          <t>r)</t>
        </r>
      </text>
    </comment>
  </commentList>
</comments>
</file>

<file path=xl/sharedStrings.xml><?xml version="1.0" encoding="utf-8"?>
<sst xmlns="http://schemas.openxmlformats.org/spreadsheetml/2006/main" count="251" uniqueCount="188">
  <si>
    <t>-</t>
  </si>
  <si>
    <t>Provedení měřicího čidla</t>
  </si>
  <si>
    <t>TECHNICKÉ PARAMETRY</t>
  </si>
  <si>
    <t>TYPOVÉ ZAŘAZENÍ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</si>
  <si>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</si>
  <si>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</si>
  <si>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</si>
  <si>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</si>
  <si>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</si>
  <si>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</si>
  <si>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</si>
  <si>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</si>
  <si>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</si>
  <si>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</si>
  <si>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</si>
  <si>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</si>
  <si>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</si>
  <si>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Kód OČ</t>
  </si>
  <si>
    <t>Objednací číslo</t>
  </si>
  <si>
    <t>Příruby čidla</t>
  </si>
  <si>
    <t>Vybavení a provedení průtokoměru</t>
  </si>
  <si>
    <t>Materiál a povrchová úprava čidla</t>
  </si>
  <si>
    <t>Pol.</t>
  </si>
  <si>
    <t>Jmenovitý tlak</t>
  </si>
  <si>
    <t>0</t>
  </si>
  <si>
    <t>Napájení</t>
  </si>
  <si>
    <t>NASTAVENÍ PRŮTOKOMĚRU</t>
  </si>
  <si>
    <t>Druh měření</t>
  </si>
  <si>
    <t>1</t>
  </si>
  <si>
    <t>2</t>
  </si>
  <si>
    <t>Necitlivost měření</t>
  </si>
  <si>
    <t>3</t>
  </si>
  <si>
    <t>4</t>
  </si>
  <si>
    <t>Rozhraní</t>
  </si>
  <si>
    <t>Parita</t>
  </si>
  <si>
    <t>Zobrazovací jazyk</t>
  </si>
  <si>
    <t>Rychlost přenosu</t>
  </si>
  <si>
    <t>DALŠÍ OBCHODNÍ POŽADAVKY</t>
  </si>
  <si>
    <t>Balení</t>
  </si>
  <si>
    <t>Způsob předání</t>
  </si>
  <si>
    <t>Záruka</t>
  </si>
  <si>
    <t xml:space="preserve"> - </t>
  </si>
  <si>
    <t>NASTAVENÍ KOMUNIKACE</t>
  </si>
  <si>
    <t>SOUVISÍCÍ PŘEDPISY</t>
  </si>
  <si>
    <t xml:space="preserve">Počet nezadaných hodnot: </t>
  </si>
  <si>
    <t>Nestandardní parametry</t>
  </si>
  <si>
    <t>HW část:</t>
  </si>
  <si>
    <t xml:space="preserve">Nestandardní parametry - souhrn: </t>
  </si>
  <si>
    <t>10 m</t>
  </si>
  <si>
    <t>15 m</t>
  </si>
  <si>
    <t>20 m</t>
  </si>
  <si>
    <t>Druh tekutiny dle PED 2014/68/EU</t>
  </si>
  <si>
    <t>Kategorie dle PED 2014/68/EU</t>
  </si>
  <si>
    <t>Délka kabelů</t>
  </si>
  <si>
    <t>Adresa - zapište z rozsahu 1 až 255</t>
  </si>
  <si>
    <t>Skupina - zapište z rozsahu 1 až 255</t>
  </si>
  <si>
    <t>Evidenční číslo manuálu průtokoměru</t>
  </si>
  <si>
    <t>Impulzní číslo</t>
  </si>
  <si>
    <t>Počet kusů</t>
  </si>
  <si>
    <t>Pozice</t>
  </si>
  <si>
    <t>Kód</t>
  </si>
  <si>
    <t>Název</t>
  </si>
  <si>
    <t>Hodnota</t>
  </si>
  <si>
    <t>Poznámky k výrobku, obchodnímu případu či nestandardním parametrům</t>
  </si>
  <si>
    <t>Dekódoval - jméno</t>
  </si>
  <si>
    <t>Dne:</t>
  </si>
  <si>
    <t>Dekódovací tabulka objednacího čísla indukčního průtokoměru FLONET FN20xx.1</t>
  </si>
  <si>
    <t>METROLOGICKÉ POŽADAVKY</t>
  </si>
  <si>
    <t>Krytí čidla se sondami</t>
  </si>
  <si>
    <t>Možnost vzniku podtlaku</t>
  </si>
  <si>
    <t>Skříňka vyhodnocovací elektroniky</t>
  </si>
  <si>
    <t>Měřená tekutina</t>
  </si>
  <si>
    <t>Upřesnění měřené tekutiny</t>
  </si>
  <si>
    <t>Frekvenční výstup</t>
  </si>
  <si>
    <t>Proudový výstup</t>
  </si>
  <si>
    <t>xx</t>
  </si>
  <si>
    <t>x</t>
  </si>
  <si>
    <t>Binární výstup</t>
  </si>
  <si>
    <t>Displej - 1. řádek</t>
  </si>
  <si>
    <t>Displej - 2. řádek</t>
  </si>
  <si>
    <t>Jednotka objemu</t>
  </si>
  <si>
    <t>Jednotka objemového průtoku</t>
  </si>
  <si>
    <t>Jednotka hmotnosti</t>
  </si>
  <si>
    <t>Jednotka hmotnostního průtoku</t>
  </si>
  <si>
    <t>Jednotka teploty</t>
  </si>
  <si>
    <t>Jednotka rychlosti</t>
  </si>
  <si>
    <t>Metrologický požadavek</t>
  </si>
  <si>
    <t>Jednotka impulzního čísla</t>
  </si>
  <si>
    <t>Dimenze čidla  ~  trvalý průtok Q₃</t>
  </si>
  <si>
    <t>Maximální provozní teplota média (TSmax)</t>
  </si>
  <si>
    <r>
      <t xml:space="preserve"> Kompletní objednací číslo nebo jeho nepřerušená počáteční část   </t>
    </r>
    <r>
      <rPr>
        <sz val="11"/>
        <color rgb="FF0033CC"/>
        <rFont val="Calibri"/>
        <family val="2"/>
        <charset val="238"/>
        <scheme val="minor"/>
      </rPr>
      <t>("Vložit hodnoty" do buňky C4)</t>
    </r>
  </si>
  <si>
    <t xml:space="preserve">    )</t>
  </si>
  <si>
    <t>Není nabízen z tohoto listu</t>
  </si>
  <si>
    <t>AS 4087</t>
  </si>
  <si>
    <t>FL3085</t>
  </si>
  <si>
    <t>Dimenze čidla  ~  Q₄</t>
  </si>
  <si>
    <t>JIS B2210, 10K</t>
  </si>
  <si>
    <t>IP68</t>
  </si>
  <si>
    <t>US liquid gal</t>
  </si>
  <si>
    <t>Imperial gal</t>
  </si>
  <si>
    <t>US liquid gal/min</t>
  </si>
  <si>
    <t>Imperial gal/min</t>
  </si>
  <si>
    <t>Datová komunikace</t>
  </si>
  <si>
    <t>Kalibrace</t>
  </si>
  <si>
    <t>Sloupec pro zápis návrhů úprav</t>
  </si>
  <si>
    <t>Sensor dimension ~ max. flow Q₄ (qs)</t>
  </si>
  <si>
    <t>Sensor flanges</t>
  </si>
  <si>
    <t>Protection of Sensor with probes</t>
  </si>
  <si>
    <t>Length of cabel</t>
  </si>
  <si>
    <t>TECHNICAL PARAMETERS</t>
  </si>
  <si>
    <t>FLOW METER SETTINGS</t>
  </si>
  <si>
    <t>Current output</t>
  </si>
  <si>
    <t>Volume unit</t>
  </si>
  <si>
    <t>Volume flow unit</t>
  </si>
  <si>
    <t>Calibration</t>
  </si>
  <si>
    <t>Data communication</t>
  </si>
  <si>
    <t>Quantity</t>
  </si>
  <si>
    <t>Packing</t>
  </si>
  <si>
    <t>Method of transmission</t>
  </si>
  <si>
    <t>Warranty</t>
  </si>
  <si>
    <t>Flowmeter manual number</t>
  </si>
  <si>
    <t>Product ID (entered by ELIS)</t>
  </si>
  <si>
    <t>Specification table for ultrasonic flow meter FLOMIC FL3085</t>
  </si>
  <si>
    <t>Fill in all the white fields in column D sequentially from the top (to see the predefined values click to:</t>
  </si>
  <si>
    <t>The table serves as an attachment to the order or demand and for production.</t>
  </si>
  <si>
    <t>Code ON</t>
  </si>
  <si>
    <t>Recommended value</t>
  </si>
  <si>
    <r>
      <t>Error message</t>
    </r>
    <r>
      <rPr>
        <sz val="10"/>
        <color theme="1"/>
        <rFont val="Calibri"/>
        <family val="2"/>
        <charset val="238"/>
        <scheme val="minor"/>
      </rPr>
      <t xml:space="preserve"> / note</t>
    </r>
  </si>
  <si>
    <t>The parameters above are defining the design of the product.</t>
  </si>
  <si>
    <t>OTHER BUSINESS REQUIREMENTS</t>
  </si>
  <si>
    <t>RELATED REGULATIONS</t>
  </si>
  <si>
    <t>In case of possible copying of the Order No. listed on the left</t>
  </si>
  <si>
    <t>use function "Insert values"!</t>
  </si>
  <si>
    <r>
      <t>These parameters</t>
    </r>
    <r>
      <rPr>
        <sz val="12"/>
        <color theme="1"/>
        <rFont val="Calibri"/>
        <family val="2"/>
        <charset val="238"/>
        <scheme val="minor"/>
      </rPr>
      <t xml:space="preserve"> (item number - name)</t>
    </r>
    <r>
      <rPr>
        <b/>
        <sz val="12"/>
        <color theme="1"/>
        <rFont val="Calibri"/>
        <family val="2"/>
        <charset val="238"/>
        <scheme val="minor"/>
      </rPr>
      <t>:</t>
    </r>
  </si>
  <si>
    <r>
      <t xml:space="preserve">Here specify all parameters marked as NON-STANDARD </t>
    </r>
    <r>
      <rPr>
        <sz val="12"/>
        <color theme="1"/>
        <rFont val="Calibri"/>
        <family val="2"/>
        <charset val="238"/>
        <scheme val="minor"/>
      </rPr>
      <t>(code ON = "x")</t>
    </r>
  </si>
  <si>
    <t>Date</t>
  </si>
  <si>
    <t>Company</t>
  </si>
  <si>
    <t>Your inquiry / order number</t>
  </si>
  <si>
    <t xml:space="preserve"> Inquiry/Order No.</t>
  </si>
  <si>
    <t>Customer´s  responsible person</t>
  </si>
  <si>
    <t>ELIS responsible person</t>
  </si>
  <si>
    <t>DN350 ~ 1 800 m³/h (NPS 14" ~ 7 925 US GPM)</t>
  </si>
  <si>
    <t>DN400 ~ 2 000 m³/h (NPS 16" ~ 8 806 US GPM)</t>
  </si>
  <si>
    <t>DN450 ~ 2 300 m³/h (NPS 18" ~ 10 527 US GPM)</t>
  </si>
  <si>
    <t>DN500 ~ 2 500 m³/h (NPS 20" ~ 11 007 US GPM)</t>
  </si>
  <si>
    <t>DN600 ~ 3 000 m³/h (NPS 24" ~ 13 209 US GPM)</t>
  </si>
  <si>
    <t>DN700 ~ 3 600 m³/h (NPS 28" ~ 15 850 US GPM)</t>
  </si>
  <si>
    <t>DN800 ~ 4 100 m³/h (NPS 32" ~ 18 052 US GPM)</t>
  </si>
  <si>
    <t>DN900 ~ 4 600 m³/h (NPS 36" ~ 20 253 US GPM)</t>
  </si>
  <si>
    <t>DN1000 ~ 5 100 m³/h (NPS 40" ~ 22 455 US GPM)</t>
  </si>
  <si>
    <t>DN1200 ~ 6 100 m³/h (NPS 48" ~ 26 857 US GPM)</t>
  </si>
  <si>
    <t>DN200 ~ 1 000 m³/h (NPS 8" ~ 4 403 US GPM)</t>
  </si>
  <si>
    <r>
      <t>DN250 ~ 1 200 m³/h (NPS 10" ~</t>
    </r>
    <r>
      <rPr>
        <b/>
        <sz val="11"/>
        <rFont val="Calibri"/>
        <family val="2"/>
        <charset val="238"/>
        <scheme val="minor"/>
      </rPr>
      <t xml:space="preserve"> </t>
    </r>
    <r>
      <rPr>
        <sz val="11"/>
        <rFont val="Calibri"/>
        <family val="2"/>
        <charset val="238"/>
        <scheme val="minor"/>
      </rPr>
      <t>5 283 US GPM)</t>
    </r>
  </si>
  <si>
    <t>DN300 ~ 1 500 m³/h (NPS 12" ~ 6 604 US GPM)</t>
  </si>
  <si>
    <t>Non-standard</t>
  </si>
  <si>
    <t>EN 1092-1</t>
  </si>
  <si>
    <t>ASME (ANSI) B16.5, 150lb</t>
  </si>
  <si>
    <t>AWWA C207  (28" and larger)</t>
  </si>
  <si>
    <t>IP54 (standardly)</t>
  </si>
  <si>
    <t>5 m (standardly)</t>
  </si>
  <si>
    <t>No - not required</t>
  </si>
  <si>
    <t>Yes (0 ÷ Q₄ qs  ~  4 ÷ 20 mA)</t>
  </si>
  <si>
    <t>m³ (standardly)</t>
  </si>
  <si>
    <t>m³/h (standardly)</t>
  </si>
  <si>
    <t>Unpacked</t>
  </si>
  <si>
    <t>Standard</t>
  </si>
  <si>
    <t>Personal collection</t>
  </si>
  <si>
    <t>Forwarding service at the supplier's expense</t>
  </si>
  <si>
    <t>Forwarding service at the customer's expense</t>
  </si>
  <si>
    <t>6 months</t>
  </si>
  <si>
    <t>12 months (standardly)</t>
  </si>
  <si>
    <t>18 months</t>
  </si>
  <si>
    <t>24 months</t>
  </si>
  <si>
    <t>36 months</t>
  </si>
  <si>
    <t>Ordering number</t>
  </si>
  <si>
    <t>Not requested</t>
  </si>
  <si>
    <t>Archive data  + optical probe</t>
  </si>
  <si>
    <t>Archive  + RS232</t>
  </si>
  <si>
    <t xml:space="preserve">GSM communication </t>
  </si>
  <si>
    <t>Standard calibration acc to EN ISO 4064-1 in 3 points without calibr protocol</t>
  </si>
  <si>
    <t>Above standard calibration acc to EN ISO 4064-1 in 5 points with calibr protocol</t>
  </si>
  <si>
    <t>Above standard calibration acc to EN ISO 4064-1 in 5 points without calibr protocol</t>
  </si>
  <si>
    <t>Above standard calibration acc to EN ISO 4064-1 in 7 points with calibr protocol</t>
  </si>
  <si>
    <t>Above standard calibration acc to EN ISO 4064-1 in 7 points without calibr protocol</t>
  </si>
  <si>
    <t>Non-standard calibration</t>
  </si>
  <si>
    <t>Standard calibration acc to EN ISO 4064-1 in 3 points with calibr protocol</t>
  </si>
  <si>
    <t>Without calibration</t>
  </si>
  <si>
    <t>Es90160F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</si>
</sst>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5]d\.\ mmmm\ yyyy;@"/>
    <numFmt numFmtId="165" formatCode="000"/>
  </numFmts>
  <fonts count="47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1"/>
      <color rgb="FFC00000"/>
      <name val="Calibri"/>
      <family val="2"/>
      <charset val="238"/>
      <scheme val="minor"/>
    </font>
    <font>
      <sz val="9"/>
      <color indexed="81"/>
      <name val="Tahoma"/>
      <family val="2"/>
      <charset val="238"/>
    </font>
    <font>
      <b/>
      <sz val="16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0"/>
      <color theme="9" tint="-0.249977111117893"/>
      <name val="Calibri"/>
      <family val="2"/>
      <charset val="238"/>
      <scheme val="minor"/>
    </font>
    <font>
      <b/>
      <sz val="9"/>
      <color indexed="81"/>
      <name val="Tahoma"/>
      <family val="2"/>
      <charset val="238"/>
    </font>
    <font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sz val="12"/>
      <color rgb="FFC00000"/>
      <name val="Calibri"/>
      <family val="2"/>
      <charset val="238"/>
      <scheme val="minor"/>
    </font>
    <font>
      <sz val="10"/>
      <color theme="0" tint="-0.14999847407452621"/>
      <name val="Calibri"/>
      <family val="2"/>
      <charset val="238"/>
      <scheme val="minor"/>
    </font>
    <font>
      <sz val="10"/>
      <color rgb="FFC00000"/>
      <name val="Calibri"/>
      <family val="2"/>
      <charset val="238"/>
      <scheme val="minor"/>
    </font>
    <font>
      <sz val="11"/>
      <color theme="0" tint="-0.1499984740745262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sz val="10"/>
      <color rgb="FF006600"/>
      <name val="Calibri"/>
      <family val="2"/>
      <charset val="238"/>
      <scheme val="minor"/>
    </font>
    <font>
      <sz val="11"/>
      <color rgb="FF006600"/>
      <name val="Calibri"/>
      <family val="2"/>
      <charset val="238"/>
      <scheme val="minor"/>
    </font>
    <font>
      <b/>
      <sz val="12"/>
      <color theme="0" tint="-0.14999847407452621"/>
      <name val="Calibri"/>
      <family val="2"/>
      <charset val="238"/>
      <scheme val="minor"/>
    </font>
    <font>
      <sz val="12"/>
      <color rgb="FF006600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sz val="11"/>
      <color rgb="FF0033CC"/>
      <name val="Calibri"/>
      <family val="2"/>
      <charset val="238"/>
      <scheme val="minor"/>
    </font>
    <font>
      <b/>
      <sz val="12"/>
      <color rgb="FF0033CC"/>
      <name val="Calibri"/>
      <family val="2"/>
      <charset val="238"/>
      <scheme val="minor"/>
    </font>
    <font>
      <sz val="10"/>
      <color rgb="FF0033CC"/>
      <name val="Calibri"/>
      <family val="2"/>
      <charset val="238"/>
      <scheme val="minor"/>
    </font>
    <font>
      <sz val="12"/>
      <color rgb="FF0033CC"/>
      <name val="Calibri"/>
      <family val="2"/>
      <charset val="238"/>
      <scheme val="minor"/>
    </font>
    <font>
      <b/>
      <sz val="11"/>
      <color rgb="FF0033CC"/>
      <name val="Calibri"/>
      <family val="2"/>
      <charset val="238"/>
      <scheme val="minor"/>
    </font>
    <font>
      <b/>
      <sz val="10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0" tint="-0.34998626667073579"/>
      <name val="Calibri"/>
      <family val="2"/>
      <charset val="238"/>
      <scheme val="minor"/>
    </font>
    <font>
      <sz val="9"/>
      <color theme="0" tint="-0.249977111117893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b/>
      <sz val="13"/>
      <color rgb="FF0033CC"/>
      <name val="Calibri"/>
      <family val="2"/>
      <charset val="238"/>
      <scheme val="minor"/>
    </font>
    <font>
      <sz val="8"/>
      <color rgb="FF0033CC"/>
      <name val="Calibri"/>
      <family val="2"/>
      <charset val="238"/>
      <scheme val="minor"/>
    </font>
    <font>
      <sz val="11"/>
      <color rgb="FF0000CC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1"/>
      <color rgb="FF990033"/>
      <name val="Calibri"/>
      <family val="2"/>
      <charset val="238"/>
      <scheme val="minor"/>
    </font>
    <font>
      <b/>
      <sz val="10"/>
      <color rgb="FF0000FF"/>
      <name val="Calibri"/>
      <family val="2"/>
      <charset val="238"/>
      <scheme val="minor"/>
    </font>
    <font>
      <b/>
      <sz val="10"/>
      <color rgb="FFC00000"/>
      <name val="Calibri"/>
      <family val="2"/>
      <charset val="238"/>
      <scheme val="minor"/>
    </font>
    <font>
      <b/>
      <sz val="12"/>
      <color theme="0" tint="-0.249977111117893"/>
      <name val="Calibri"/>
      <family val="2"/>
      <charset val="238"/>
      <scheme val="minor"/>
    </font>
    <font>
      <sz val="10"/>
      <color theme="0" tint="-0.34998626667073579"/>
      <name val="Calibri"/>
      <family val="2"/>
      <charset val="238"/>
      <scheme val="minor"/>
    </font>
    <font>
      <b/>
      <sz val="14"/>
      <color rgb="FF339933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</fonts>
  <fills count="1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gradientFill type="path" left="0.5" right="0.5" top="0.5" bottom="0.5">
        <stop position="0">
          <color rgb="FFFEE8E6"/>
        </stop>
        <stop position="1">
          <color theme="0" tint="-0.1490218817712943"/>
        </stop>
      </gradientFill>
    </fill>
    <fill>
      <gradientFill type="path" left="0.5" right="0.5" top="0.5" bottom="0.5">
        <stop position="0">
          <color theme="0" tint="-5.0965910824915313E-2"/>
        </stop>
        <stop position="1">
          <color theme="0" tint="-0.1490218817712943"/>
        </stop>
      </gradient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auto="1"/>
      </patternFill>
    </fill>
    <fill>
      <gradientFill type="path" left="0.5" right="0.5" top="0.5" bottom="0.5">
        <stop position="0">
          <color theme="0"/>
        </stop>
        <stop position="1">
          <color theme="0" tint="-5.0965910824915313E-2"/>
        </stop>
      </gradientFill>
    </fill>
    <fill>
      <patternFill patternType="solid">
        <fgColor rgb="FFFFFFCC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249977111117893"/>
        <bgColor auto="1"/>
      </patternFill>
    </fill>
    <fill>
      <gradientFill type="path" left="0.5" right="0.5" top="0.5" bottom="0.5">
        <stop position="0">
          <color theme="0" tint="-0.1490218817712943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theme="4" tint="0.80001220740379042"/>
        </stop>
        <stop position="1">
          <color theme="0" tint="-0.25098422193060094"/>
        </stop>
      </gradientFill>
    </fill>
    <fill>
      <gradientFill type="path" left="0.5" right="0.5" top="0.5" bottom="0.5">
        <stop position="0">
          <color rgb="FFFEE8E6"/>
        </stop>
        <stop position="1">
          <color theme="0" tint="-0.25098422193060094"/>
        </stop>
      </gradientFill>
    </fill>
    <fill>
      <patternFill patternType="solid">
        <fgColor theme="0" tint="-0.14996795556505021"/>
        <bgColor indexed="64"/>
      </patternFill>
    </fill>
  </fills>
  <borders count="4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theme="0" tint="-0.14996795556505021"/>
      </bottom>
      <diagonal/>
    </border>
    <border>
      <left/>
      <right/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 style="medium">
        <color theme="0" tint="-0.14996795556505021"/>
      </top>
      <bottom/>
      <diagonal/>
    </border>
    <border>
      <left/>
      <right style="medium">
        <color theme="0" tint="-0.14996795556505021"/>
      </right>
      <top/>
      <bottom/>
      <diagonal/>
    </border>
    <border>
      <left/>
      <right style="medium">
        <color theme="0" tint="-0.14993743705557422"/>
      </right>
      <top/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/>
      <diagonal/>
    </border>
    <border>
      <left style="medium">
        <color theme="0" tint="-0.14996795556505021"/>
      </left>
      <right/>
      <top style="medium">
        <color theme="0" tint="-0.14996795556505021"/>
      </top>
      <bottom/>
      <diagonal/>
    </border>
    <border>
      <left style="medium">
        <color theme="0" tint="-0.14996795556505021"/>
      </left>
      <right/>
      <top/>
      <bottom style="medium">
        <color theme="0" tint="-0.14996795556505021"/>
      </bottom>
      <diagonal/>
    </border>
    <border>
      <left style="medium">
        <color theme="0" tint="-0.14996795556505021"/>
      </left>
      <right/>
      <top/>
      <bottom/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indexed="64"/>
      </top>
      <bottom style="medium">
        <color theme="0" tint="-0.1499679555650502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auto="1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6795556505021"/>
      </top>
      <bottom style="medium">
        <color theme="0" tint="-0.14996795556505021"/>
      </bottom>
      <diagonal/>
    </border>
    <border>
      <left/>
      <right style="medium">
        <color theme="0" tint="-0.14993743705557422"/>
      </right>
      <top/>
      <bottom style="mediumDashed">
        <color theme="0" tint="-0.14996795556505021"/>
      </bottom>
      <diagonal/>
    </border>
    <border>
      <left/>
      <right/>
      <top style="medium">
        <color theme="0" tint="-0.14996795556505021"/>
      </top>
      <bottom style="medium">
        <color theme="0" tint="-0.14996795556505021"/>
      </bottom>
      <diagonal/>
    </border>
    <border>
      <left style="medium">
        <color theme="0" tint="-0.14996795556505021"/>
      </left>
      <right style="medium">
        <color theme="0" tint="-0.14996795556505021"/>
      </right>
      <top style="medium">
        <color indexed="64"/>
      </top>
      <bottom/>
      <diagonal/>
    </border>
    <border>
      <left style="dotted">
        <color rgb="FF990033"/>
      </left>
      <right style="dotted">
        <color rgb="FF990033"/>
      </right>
      <top style="dotted">
        <color rgb="FF990033"/>
      </top>
      <bottom style="dotted">
        <color rgb="FF990033"/>
      </bottom>
      <diagonal/>
    </border>
    <border>
      <left style="medium">
        <color rgb="FF0033CC"/>
      </left>
      <right/>
      <top/>
      <bottom style="medium">
        <color rgb="FF0033CC"/>
      </bottom>
      <diagonal/>
    </border>
    <border>
      <left/>
      <right style="medium">
        <color rgb="FF0033CC"/>
      </right>
      <top/>
      <bottom style="medium">
        <color rgb="FF0033CC"/>
      </bottom>
      <diagonal/>
    </border>
    <border>
      <left style="medium">
        <color rgb="FF0033CC"/>
      </left>
      <right/>
      <top style="medium">
        <color rgb="FF0033CC"/>
      </top>
      <bottom style="thin">
        <color rgb="FF0033CC"/>
      </bottom>
      <diagonal/>
    </border>
    <border>
      <left/>
      <right style="medium">
        <color rgb="FF0033CC"/>
      </right>
      <top style="medium">
        <color rgb="FF0033CC"/>
      </top>
      <bottom style="thin">
        <color rgb="FF0033CC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 tint="-0.14993743705557422"/>
      </left>
      <right style="medium">
        <color theme="0" tint="-0.14990691854609822"/>
      </right>
      <top style="medium">
        <color theme="0" tint="-0.14990691854609822"/>
      </top>
      <bottom style="medium">
        <color theme="0" tint="-0.14990691854609822"/>
      </bottom>
      <diagonal/>
    </border>
    <border>
      <left/>
      <right/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 style="mediumDashed">
        <color theme="0" tint="-0.14996795556505021"/>
      </top>
      <bottom/>
      <diagonal/>
    </border>
    <border>
      <left/>
      <right style="medium">
        <color theme="0" tint="-0.14993743705557422"/>
      </right>
      <top/>
      <bottom style="medium">
        <color theme="0" tint="-0.1498764000366222"/>
      </bottom>
      <diagonal/>
    </border>
    <border>
      <left/>
      <right/>
      <top style="dashed">
        <color theme="0" tint="-0.34998626667073579"/>
      </top>
      <bottom/>
      <diagonal/>
    </border>
    <border>
      <left style="dashed">
        <color rgb="FFC00000"/>
      </left>
      <right style="dashed">
        <color rgb="FFC00000"/>
      </right>
      <top style="dashed">
        <color rgb="FFC00000"/>
      </top>
      <bottom/>
      <diagonal/>
    </border>
    <border>
      <left style="dashed">
        <color rgb="FFC00000"/>
      </left>
      <right style="dashed">
        <color rgb="FFC00000"/>
      </right>
      <top/>
      <bottom/>
      <diagonal/>
    </border>
    <border>
      <left style="dashed">
        <color rgb="FFC00000"/>
      </left>
      <right style="dashed">
        <color rgb="FFC00000"/>
      </right>
      <top/>
      <bottom style="dashed">
        <color rgb="FFC00000"/>
      </bottom>
      <diagonal/>
    </border>
    <border>
      <left/>
      <right/>
      <top style="thin">
        <color rgb="FFFF0000"/>
      </top>
      <bottom/>
      <diagonal/>
    </border>
  </borders>
  <cellStyleXfs count="1">
    <xf numFmtId="0" fontId="0" fillId="0" borderId="0"/>
  </cellStyleXfs>
  <cellXfs count="239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2" fillId="0" borderId="0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0" fillId="4" borderId="0" xfId="0" applyFont="1" applyFill="1" applyBorder="1" applyAlignment="1">
      <alignment horizontal="right" vertical="center" indent="1"/>
    </xf>
    <xf numFmtId="0" fontId="2" fillId="4" borderId="0" xfId="0" applyFont="1" applyFill="1" applyBorder="1" applyAlignment="1">
      <alignment horizontal="right" vertical="center" indent="1"/>
    </xf>
    <xf numFmtId="0" fontId="2" fillId="3" borderId="1" xfId="0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left" vertical="center" indent="1"/>
    </xf>
    <xf numFmtId="0" fontId="1" fillId="0" borderId="0" xfId="0" applyFont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0" fontId="14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0" fontId="1" fillId="0" borderId="6" xfId="0" applyFont="1" applyBorder="1" applyAlignment="1" applyProtection="1">
      <alignment vertical="center" wrapText="1"/>
      <protection locked="0"/>
    </xf>
    <xf numFmtId="0" fontId="0" fillId="3" borderId="8" xfId="0" applyFill="1" applyBorder="1" applyAlignment="1">
      <alignment vertical="center"/>
    </xf>
    <xf numFmtId="0" fontId="0" fillId="3" borderId="0" xfId="0" applyFill="1" applyBorder="1" applyAlignment="1">
      <alignment vertical="center"/>
    </xf>
    <xf numFmtId="0" fontId="2" fillId="3" borderId="8" xfId="0" applyFont="1" applyFill="1" applyBorder="1" applyAlignment="1">
      <alignment horizontal="right" vertical="center" indent="1"/>
    </xf>
    <xf numFmtId="0" fontId="0" fillId="3" borderId="10" xfId="0" applyFill="1" applyBorder="1" applyAlignment="1">
      <alignment vertical="center"/>
    </xf>
    <xf numFmtId="0" fontId="0" fillId="3" borderId="4" xfId="0" applyFill="1" applyBorder="1" applyAlignment="1">
      <alignment vertical="center"/>
    </xf>
    <xf numFmtId="0" fontId="16" fillId="3" borderId="12" xfId="0" applyFont="1" applyFill="1" applyBorder="1" applyAlignment="1">
      <alignment horizontal="center" vertical="center"/>
    </xf>
    <xf numFmtId="0" fontId="0" fillId="0" borderId="0" xfId="0" applyAlignment="1" applyProtection="1">
      <alignment vertical="center"/>
      <protection hidden="1"/>
    </xf>
    <xf numFmtId="49" fontId="7" fillId="0" borderId="0" xfId="0" applyNumberFormat="1" applyFont="1" applyAlignment="1" applyProtection="1">
      <alignment horizontal="left"/>
      <protection hidden="1"/>
    </xf>
    <xf numFmtId="49" fontId="7" fillId="0" borderId="0" xfId="0" applyNumberFormat="1" applyFont="1" applyAlignment="1" applyProtection="1">
      <alignment horizontal="center"/>
      <protection hidden="1"/>
    </xf>
    <xf numFmtId="0" fontId="0" fillId="0" borderId="0" xfId="0" applyProtection="1">
      <protection hidden="1"/>
    </xf>
    <xf numFmtId="0" fontId="17" fillId="0" borderId="0" xfId="0" applyFont="1" applyAlignment="1" applyProtection="1">
      <alignment wrapText="1"/>
      <protection hidden="1"/>
    </xf>
    <xf numFmtId="0" fontId="2" fillId="4" borderId="0" xfId="0" applyFont="1" applyFill="1" applyBorder="1" applyAlignment="1" applyProtection="1">
      <alignment horizontal="center" vertical="center"/>
      <protection hidden="1"/>
    </xf>
    <xf numFmtId="0" fontId="2" fillId="0" borderId="0" xfId="0" applyFont="1" applyProtection="1">
      <protection hidden="1"/>
    </xf>
    <xf numFmtId="0" fontId="17" fillId="4" borderId="0" xfId="0" applyFont="1" applyFill="1" applyBorder="1" applyAlignment="1" applyProtection="1">
      <alignment horizontal="center" vertical="center"/>
      <protection hidden="1"/>
    </xf>
    <xf numFmtId="0" fontId="17" fillId="0" borderId="0" xfId="0" applyNumberFormat="1" applyFont="1" applyAlignment="1" applyProtection="1">
      <alignment horizontal="center"/>
      <protection hidden="1"/>
    </xf>
    <xf numFmtId="0" fontId="17" fillId="0" borderId="0" xfId="0" applyFont="1" applyProtection="1">
      <protection hidden="1"/>
    </xf>
    <xf numFmtId="0" fontId="17" fillId="0" borderId="0" xfId="0" applyFont="1" applyAlignment="1" applyProtection="1">
      <alignment horizontal="left"/>
      <protection hidden="1"/>
    </xf>
    <xf numFmtId="0" fontId="0" fillId="0" borderId="0" xfId="0" applyAlignment="1" applyProtection="1">
      <protection hidden="1"/>
    </xf>
    <xf numFmtId="0" fontId="0" fillId="0" borderId="0" xfId="0" applyBorder="1" applyAlignment="1">
      <alignment vertical="center"/>
    </xf>
    <xf numFmtId="0" fontId="5" fillId="0" borderId="0" xfId="0" applyFont="1" applyBorder="1" applyAlignment="1">
      <alignment horizontal="center" vertical="center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5" fillId="0" borderId="0" xfId="0" applyFont="1" applyAlignment="1" applyProtection="1">
      <alignment horizontal="center" vertical="center"/>
      <protection hidden="1"/>
    </xf>
    <xf numFmtId="0" fontId="0" fillId="4" borderId="0" xfId="0" applyFill="1" applyBorder="1" applyAlignment="1" applyProtection="1">
      <alignment vertical="center"/>
      <protection hidden="1"/>
    </xf>
    <xf numFmtId="164" fontId="0" fillId="0" borderId="6" xfId="0" applyNumberFormat="1" applyFont="1" applyBorder="1" applyAlignment="1" applyProtection="1">
      <alignment horizontal="left" vertical="center" wrapText="1"/>
      <protection locked="0"/>
    </xf>
    <xf numFmtId="49" fontId="22" fillId="3" borderId="3" xfId="0" applyNumberFormat="1" applyFont="1" applyFill="1" applyBorder="1" applyAlignment="1" applyProtection="1">
      <alignment horizontal="center" vertical="center" wrapText="1"/>
      <protection hidden="1"/>
    </xf>
    <xf numFmtId="49" fontId="19" fillId="0" borderId="0" xfId="0" applyNumberFormat="1" applyFont="1" applyAlignment="1" applyProtection="1">
      <alignment horizontal="right" vertical="center"/>
      <protection hidden="1"/>
    </xf>
    <xf numFmtId="49" fontId="12" fillId="0" borderId="0" xfId="0" applyNumberFormat="1" applyFont="1" applyAlignment="1" applyProtection="1">
      <alignment horizontal="right" vertical="center"/>
      <protection hidden="1"/>
    </xf>
    <xf numFmtId="49" fontId="24" fillId="0" borderId="0" xfId="0" applyNumberFormat="1" applyFont="1" applyAlignment="1" applyProtection="1">
      <alignment horizontal="right" vertical="center"/>
      <protection hidden="1"/>
    </xf>
    <xf numFmtId="49" fontId="1" fillId="0" borderId="6" xfId="0" applyNumberFormat="1" applyFont="1" applyBorder="1" applyAlignment="1" applyProtection="1">
      <alignment horizontal="left" vertical="center" wrapText="1"/>
      <protection locked="0"/>
    </xf>
    <xf numFmtId="0" fontId="1" fillId="0" borderId="25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 applyProtection="1">
      <alignment horizontal="center"/>
      <protection hidden="1"/>
    </xf>
    <xf numFmtId="0" fontId="1" fillId="0" borderId="6" xfId="0" applyFont="1" applyBorder="1" applyAlignment="1" applyProtection="1">
      <alignment horizontal="left" vertical="center" wrapText="1"/>
      <protection locked="0"/>
    </xf>
    <xf numFmtId="49" fontId="0" fillId="0" borderId="6" xfId="0" applyNumberFormat="1" applyBorder="1" applyAlignment="1" applyProtection="1">
      <alignment horizontal="left" vertical="center" wrapText="1"/>
      <protection locked="0"/>
    </xf>
    <xf numFmtId="49" fontId="0" fillId="0" borderId="5" xfId="0" applyNumberFormat="1" applyBorder="1" applyAlignment="1" applyProtection="1">
      <alignment vertical="center" wrapText="1"/>
      <protection locked="0"/>
    </xf>
    <xf numFmtId="0" fontId="5" fillId="4" borderId="0" xfId="0" applyNumberFormat="1" applyFont="1" applyFill="1" applyBorder="1" applyAlignment="1" applyProtection="1">
      <alignment horizontal="center" vertical="center"/>
      <protection hidden="1"/>
    </xf>
    <xf numFmtId="0" fontId="1" fillId="7" borderId="5" xfId="0" applyFont="1" applyFill="1" applyBorder="1" applyAlignment="1" applyProtection="1">
      <alignment vertical="center" wrapText="1"/>
      <protection locked="0"/>
    </xf>
    <xf numFmtId="0" fontId="33" fillId="0" borderId="0" xfId="0" applyFont="1" applyAlignment="1">
      <alignment horizontal="right" vertical="center"/>
    </xf>
    <xf numFmtId="49" fontId="2" fillId="0" borderId="1" xfId="0" applyNumberFormat="1" applyFont="1" applyBorder="1" applyAlignment="1" applyProtection="1">
      <alignment horizontal="center" vertical="center"/>
      <protection hidden="1"/>
    </xf>
    <xf numFmtId="49" fontId="2" fillId="0" borderId="2" xfId="0" applyNumberFormat="1" applyFont="1" applyBorder="1" applyAlignment="1" applyProtection="1">
      <alignment horizontal="center" vertical="center"/>
      <protection hidden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 applyProtection="1">
      <alignment horizontal="center" vertical="center"/>
      <protection hidden="1"/>
    </xf>
    <xf numFmtId="49" fontId="34" fillId="0" borderId="8" xfId="0" applyNumberFormat="1" applyFont="1" applyBorder="1" applyAlignment="1" applyProtection="1">
      <alignment horizontal="center" vertical="center"/>
      <protection hidden="1"/>
    </xf>
    <xf numFmtId="0" fontId="0" fillId="0" borderId="0" xfId="0" applyNumberFormat="1" applyProtection="1">
      <protection hidden="1"/>
    </xf>
    <xf numFmtId="49" fontId="15" fillId="3" borderId="7" xfId="0" applyNumberFormat="1" applyFont="1" applyFill="1" applyBorder="1" applyAlignment="1" applyProtection="1">
      <alignment horizontal="center" vertical="center" wrapText="1"/>
      <protection hidden="1"/>
    </xf>
    <xf numFmtId="0" fontId="5" fillId="3" borderId="0" xfId="0" applyFont="1" applyFill="1" applyBorder="1" applyAlignment="1" applyProtection="1">
      <alignment horizontal="center" vertical="center"/>
      <protection hidden="1"/>
    </xf>
    <xf numFmtId="0" fontId="5" fillId="3" borderId="4" xfId="0" applyFont="1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left" vertical="center" wrapText="1"/>
      <protection hidden="1"/>
    </xf>
    <xf numFmtId="0" fontId="0" fillId="3" borderId="0" xfId="0" applyFill="1" applyBorder="1" applyAlignment="1" applyProtection="1">
      <alignment vertical="center"/>
      <protection hidden="1"/>
    </xf>
    <xf numFmtId="0" fontId="0" fillId="3" borderId="4" xfId="0" applyFill="1" applyBorder="1" applyAlignment="1" applyProtection="1">
      <alignment vertical="center"/>
      <protection hidden="1"/>
    </xf>
    <xf numFmtId="0" fontId="2" fillId="3" borderId="13" xfId="0" applyFont="1" applyFill="1" applyBorder="1" applyAlignment="1">
      <alignment horizontal="center" vertical="center"/>
    </xf>
    <xf numFmtId="0" fontId="0" fillId="3" borderId="9" xfId="0" applyFill="1" applyBorder="1" applyAlignment="1">
      <alignment vertical="center"/>
    </xf>
    <xf numFmtId="0" fontId="0" fillId="3" borderId="11" xfId="0" applyFill="1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/>
    <xf numFmtId="0" fontId="12" fillId="9" borderId="14" xfId="0" applyFont="1" applyFill="1" applyBorder="1" applyAlignment="1" applyProtection="1">
      <alignment vertical="center"/>
      <protection hidden="1"/>
    </xf>
    <xf numFmtId="0" fontId="2" fillId="4" borderId="7" xfId="0" applyFont="1" applyFill="1" applyBorder="1" applyAlignment="1">
      <alignment horizontal="right" vertical="center" indent="1"/>
    </xf>
    <xf numFmtId="0" fontId="0" fillId="4" borderId="7" xfId="0" applyFont="1" applyFill="1" applyBorder="1" applyAlignment="1">
      <alignment horizontal="right" vertical="center" indent="1"/>
    </xf>
    <xf numFmtId="0" fontId="0" fillId="0" borderId="0" xfId="0" applyBorder="1"/>
    <xf numFmtId="0" fontId="17" fillId="0" borderId="29" xfId="0" applyFont="1" applyBorder="1" applyAlignment="1" applyProtection="1">
      <alignment wrapText="1"/>
      <protection hidden="1"/>
    </xf>
    <xf numFmtId="0" fontId="35" fillId="0" borderId="5" xfId="0" applyFont="1" applyFill="1" applyBorder="1" applyAlignment="1" applyProtection="1">
      <alignment vertical="center" wrapText="1"/>
      <protection locked="0"/>
    </xf>
    <xf numFmtId="0" fontId="2" fillId="0" borderId="0" xfId="0" applyFont="1" applyAlignment="1">
      <alignment horizontal="center"/>
    </xf>
    <xf numFmtId="0" fontId="26" fillId="9" borderId="0" xfId="0" applyFont="1" applyFill="1" applyBorder="1" applyAlignment="1" applyProtection="1">
      <alignment vertical="center"/>
      <protection hidden="1"/>
    </xf>
    <xf numFmtId="0" fontId="0" fillId="9" borderId="0" xfId="0" applyFill="1" applyAlignment="1" applyProtection="1">
      <alignment vertical="center"/>
      <protection hidden="1"/>
    </xf>
    <xf numFmtId="0" fontId="3" fillId="6" borderId="0" xfId="0" applyFont="1" applyFill="1" applyAlignment="1" applyProtection="1">
      <alignment vertical="center"/>
      <protection hidden="1"/>
    </xf>
    <xf numFmtId="0" fontId="0" fillId="6" borderId="0" xfId="0" applyFill="1" applyAlignment="1" applyProtection="1">
      <alignment vertical="center"/>
      <protection hidden="1"/>
    </xf>
    <xf numFmtId="0" fontId="5" fillId="3" borderId="0" xfId="0" applyFont="1" applyFill="1" applyAlignment="1" applyProtection="1">
      <alignment horizontal="center" vertical="center"/>
      <protection hidden="1"/>
    </xf>
    <xf numFmtId="0" fontId="0" fillId="3" borderId="17" xfId="0" applyFill="1" applyBorder="1" applyAlignment="1" applyProtection="1">
      <alignment vertical="center"/>
      <protection hidden="1"/>
    </xf>
    <xf numFmtId="0" fontId="25" fillId="4" borderId="0" xfId="0" applyFont="1" applyFill="1" applyBorder="1" applyAlignment="1" applyProtection="1">
      <alignment vertical="center"/>
      <protection hidden="1"/>
    </xf>
    <xf numFmtId="0" fontId="5" fillId="4" borderId="0" xfId="0" applyFont="1" applyFill="1" applyAlignment="1" applyProtection="1">
      <alignment horizontal="center" vertical="center"/>
      <protection hidden="1"/>
    </xf>
    <xf numFmtId="0" fontId="0" fillId="4" borderId="17" xfId="0" applyFill="1" applyBorder="1" applyAlignment="1" applyProtection="1">
      <alignment vertical="center"/>
      <protection hidden="1"/>
    </xf>
    <xf numFmtId="0" fontId="0" fillId="3" borderId="2" xfId="0" applyFill="1" applyBorder="1" applyAlignment="1" applyProtection="1">
      <alignment vertical="center"/>
      <protection hidden="1"/>
    </xf>
    <xf numFmtId="0" fontId="2" fillId="3" borderId="3" xfId="0" applyFont="1" applyFill="1" applyBorder="1" applyAlignment="1" applyProtection="1">
      <alignment horizontal="center" vertical="center"/>
      <protection hidden="1"/>
    </xf>
    <xf numFmtId="0" fontId="2" fillId="4" borderId="19" xfId="0" applyFont="1" applyFill="1" applyBorder="1" applyAlignment="1" applyProtection="1">
      <alignment vertical="center"/>
      <protection hidden="1"/>
    </xf>
    <xf numFmtId="0" fontId="1" fillId="4" borderId="23" xfId="0" applyFont="1" applyFill="1" applyBorder="1" applyAlignment="1" applyProtection="1">
      <alignment horizontal="left" vertical="center" wrapText="1"/>
      <protection hidden="1"/>
    </xf>
    <xf numFmtId="0" fontId="1" fillId="4" borderId="24" xfId="0" applyFont="1" applyFill="1" applyBorder="1" applyAlignment="1" applyProtection="1">
      <alignment horizontal="left" vertical="center" wrapText="1"/>
      <protection hidden="1"/>
    </xf>
    <xf numFmtId="0" fontId="18" fillId="3" borderId="2" xfId="0" applyFont="1" applyFill="1" applyBorder="1" applyAlignment="1" applyProtection="1">
      <alignment horizontal="left" vertical="center" wrapText="1"/>
      <protection hidden="1"/>
    </xf>
    <xf numFmtId="0" fontId="2" fillId="4" borderId="26" xfId="0" applyFont="1" applyFill="1" applyBorder="1" applyAlignment="1" applyProtection="1">
      <alignment vertical="center"/>
      <protection hidden="1"/>
    </xf>
    <xf numFmtId="0" fontId="0" fillId="4" borderId="19" xfId="0" applyFill="1" applyBorder="1" applyAlignment="1" applyProtection="1">
      <alignment vertical="center"/>
      <protection hidden="1"/>
    </xf>
    <xf numFmtId="0" fontId="33" fillId="0" borderId="0" xfId="0" applyFont="1" applyAlignment="1" applyProtection="1">
      <alignment horizontal="right" vertical="center"/>
      <protection hidden="1"/>
    </xf>
    <xf numFmtId="0" fontId="16" fillId="3" borderId="12" xfId="0" applyFont="1" applyFill="1" applyBorder="1" applyAlignment="1" applyProtection="1">
      <alignment horizontal="center" vertical="center"/>
      <protection hidden="1"/>
    </xf>
    <xf numFmtId="0" fontId="4" fillId="3" borderId="7" xfId="0" applyFont="1" applyFill="1" applyBorder="1" applyAlignment="1" applyProtection="1">
      <alignment horizontal="left" vertical="center" indent="1"/>
      <protection hidden="1"/>
    </xf>
    <xf numFmtId="0" fontId="18" fillId="3" borderId="7" xfId="0" applyFont="1" applyFill="1" applyBorder="1" applyAlignment="1" applyProtection="1">
      <alignment horizontal="left" vertical="center" wrapText="1"/>
      <protection hidden="1"/>
    </xf>
    <xf numFmtId="0" fontId="2" fillId="3" borderId="13" xfId="0" applyFont="1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vertical="center"/>
      <protection hidden="1"/>
    </xf>
    <xf numFmtId="0" fontId="0" fillId="3" borderId="9" xfId="0" applyFill="1" applyBorder="1" applyAlignment="1" applyProtection="1">
      <alignment vertical="center"/>
      <protection hidden="1"/>
    </xf>
    <xf numFmtId="0" fontId="2" fillId="3" borderId="8" xfId="0" applyFont="1" applyFill="1" applyBorder="1" applyAlignment="1" applyProtection="1">
      <alignment horizontal="right" vertical="center" indent="1"/>
      <protection hidden="1"/>
    </xf>
    <xf numFmtId="0" fontId="0" fillId="3" borderId="0" xfId="0" applyFont="1" applyFill="1" applyBorder="1" applyAlignment="1" applyProtection="1">
      <alignment horizontal="right" vertical="center" indent="1"/>
      <protection hidden="1"/>
    </xf>
    <xf numFmtId="0" fontId="0" fillId="3" borderId="10" xfId="0" applyFill="1" applyBorder="1" applyAlignment="1" applyProtection="1">
      <alignment vertical="center"/>
      <protection hidden="1"/>
    </xf>
    <xf numFmtId="0" fontId="0" fillId="3" borderId="11" xfId="0" applyFill="1" applyBorder="1" applyAlignment="1" applyProtection="1">
      <alignment vertical="center"/>
      <protection hidden="1"/>
    </xf>
    <xf numFmtId="0" fontId="5" fillId="4" borderId="0" xfId="0" applyFont="1" applyFill="1" applyBorder="1" applyAlignment="1" applyProtection="1">
      <alignment horizontal="center"/>
      <protection locked="0"/>
    </xf>
    <xf numFmtId="0" fontId="36" fillId="4" borderId="0" xfId="0" applyFont="1" applyFill="1" applyBorder="1" applyAlignment="1" applyProtection="1">
      <alignment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3" fillId="8" borderId="0" xfId="0" applyFont="1" applyFill="1" applyAlignment="1" applyProtection="1">
      <alignment vertical="center"/>
      <protection hidden="1"/>
    </xf>
    <xf numFmtId="0" fontId="0" fillId="8" borderId="0" xfId="0" applyFill="1" applyAlignment="1" applyProtection="1">
      <alignment vertical="center"/>
      <protection hidden="1"/>
    </xf>
    <xf numFmtId="0" fontId="36" fillId="0" borderId="30" xfId="0" applyFont="1" applyFill="1" applyBorder="1" applyAlignment="1" applyProtection="1">
      <alignment vertical="center"/>
      <protection locked="0"/>
    </xf>
    <xf numFmtId="0" fontId="0" fillId="0" borderId="31" xfId="0" applyFill="1" applyBorder="1" applyAlignment="1" applyProtection="1">
      <alignment vertical="center"/>
      <protection locked="0"/>
    </xf>
    <xf numFmtId="0" fontId="29" fillId="4" borderId="32" xfId="0" applyFont="1" applyFill="1" applyBorder="1" applyAlignment="1" applyProtection="1">
      <alignment vertical="center"/>
      <protection hidden="1"/>
    </xf>
    <xf numFmtId="0" fontId="0" fillId="4" borderId="33" xfId="0" applyFill="1" applyBorder="1" applyAlignment="1" applyProtection="1">
      <alignment vertical="center"/>
      <protection hidden="1"/>
    </xf>
    <xf numFmtId="0" fontId="37" fillId="3" borderId="27" xfId="0" applyFont="1" applyFill="1" applyBorder="1" applyAlignment="1" applyProtection="1">
      <alignment horizontal="center" vertical="center" wrapText="1"/>
      <protection hidden="1"/>
    </xf>
    <xf numFmtId="0" fontId="0" fillId="0" borderId="0" xfId="0"/>
    <xf numFmtId="49" fontId="0" fillId="0" borderId="0" xfId="0" applyNumberFormat="1" applyFill="1" applyAlignment="1">
      <alignment horizontal="center" vertical="center"/>
    </xf>
    <xf numFmtId="0" fontId="0" fillId="0" borderId="0" xfId="0" applyFill="1" applyAlignment="1">
      <alignment vertical="center"/>
    </xf>
    <xf numFmtId="49" fontId="12" fillId="0" borderId="0" xfId="0" applyNumberFormat="1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49" fontId="0" fillId="2" borderId="0" xfId="0" applyNumberFormat="1" applyFill="1" applyAlignment="1">
      <alignment vertical="center"/>
    </xf>
    <xf numFmtId="49" fontId="0" fillId="2" borderId="0" xfId="0" applyNumberFormat="1" applyFill="1" applyAlignment="1">
      <alignment vertical="center" wrapText="1"/>
    </xf>
    <xf numFmtId="49" fontId="12" fillId="2" borderId="0" xfId="0" applyNumberFormat="1" applyFont="1" applyFill="1" applyAlignment="1">
      <alignment vertical="center"/>
    </xf>
    <xf numFmtId="0" fontId="0" fillId="0" borderId="0" xfId="0"/>
    <xf numFmtId="0" fontId="0" fillId="2" borderId="0" xfId="0" applyFill="1" applyAlignment="1">
      <alignment vertical="center"/>
    </xf>
    <xf numFmtId="49" fontId="12" fillId="2" borderId="0" xfId="0" applyNumberFormat="1" applyFont="1" applyFill="1" applyAlignment="1">
      <alignment vertical="center" wrapText="1"/>
    </xf>
    <xf numFmtId="0" fontId="1" fillId="0" borderId="35" xfId="0" applyFont="1" applyFill="1" applyBorder="1" applyAlignment="1" applyProtection="1">
      <alignment horizontal="left" vertical="center" wrapText="1"/>
      <protection locked="0"/>
    </xf>
    <xf numFmtId="49" fontId="0" fillId="0" borderId="0" xfId="0" applyNumberFormat="1" applyAlignment="1">
      <alignment horizontal="center" vertical="center"/>
    </xf>
    <xf numFmtId="49" fontId="41" fillId="0" borderId="0" xfId="0" applyNumberFormat="1" applyFont="1" applyAlignment="1" applyProtection="1">
      <alignment horizontal="center"/>
      <protection hidden="1"/>
    </xf>
    <xf numFmtId="0" fontId="12" fillId="4" borderId="0" xfId="0" applyFont="1" applyFill="1" applyBorder="1" applyAlignment="1">
      <alignment horizontal="right" vertical="center" indent="1"/>
    </xf>
    <xf numFmtId="0" fontId="5" fillId="4" borderId="0" xfId="0" applyFont="1" applyFill="1" applyBorder="1" applyAlignment="1" applyProtection="1">
      <alignment horizontal="center" vertical="center"/>
      <protection hidden="1"/>
    </xf>
    <xf numFmtId="0" fontId="1" fillId="4" borderId="25" xfId="0" applyFont="1" applyFill="1" applyBorder="1" applyAlignment="1" applyProtection="1">
      <alignment horizontal="left" vertical="center" wrapText="1"/>
      <protection hidden="1"/>
    </xf>
    <xf numFmtId="49" fontId="0" fillId="0" borderId="0" xfId="0" applyNumberFormat="1" applyFill="1" applyAlignment="1">
      <alignment horizontal="center" vertical="center"/>
    </xf>
    <xf numFmtId="0" fontId="12" fillId="8" borderId="17" xfId="0" applyFont="1" applyFill="1" applyBorder="1" applyAlignment="1">
      <alignment horizontal="right" vertical="center" indent="1"/>
    </xf>
    <xf numFmtId="0" fontId="12" fillId="4" borderId="36" xfId="0" applyFont="1" applyFill="1" applyBorder="1" applyAlignment="1">
      <alignment horizontal="right" vertical="center" indent="1"/>
    </xf>
    <xf numFmtId="0" fontId="24" fillId="3" borderId="2" xfId="0" applyFont="1" applyFill="1" applyBorder="1" applyAlignment="1">
      <alignment horizontal="left" vertical="center" indent="1"/>
    </xf>
    <xf numFmtId="0" fontId="17" fillId="0" borderId="0" xfId="0" applyFont="1" applyAlignment="1" applyProtection="1">
      <alignment horizontal="center"/>
      <protection hidden="1"/>
    </xf>
    <xf numFmtId="0" fontId="1" fillId="4" borderId="25" xfId="0" applyNumberFormat="1" applyFont="1" applyFill="1" applyBorder="1" applyAlignment="1" applyProtection="1">
      <alignment horizontal="left" vertical="center" wrapText="1"/>
      <protection hidden="1"/>
    </xf>
    <xf numFmtId="0" fontId="0" fillId="4" borderId="38" xfId="0" applyFill="1" applyBorder="1" applyAlignment="1" applyProtection="1">
      <alignment vertical="center"/>
      <protection hidden="1"/>
    </xf>
    <xf numFmtId="49" fontId="0" fillId="2" borderId="34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/>
    </xf>
    <xf numFmtId="0" fontId="39" fillId="0" borderId="0" xfId="0" applyFont="1" applyFill="1" applyAlignment="1">
      <alignment vertical="center"/>
    </xf>
    <xf numFmtId="0" fontId="28" fillId="9" borderId="14" xfId="0" applyFont="1" applyFill="1" applyBorder="1" applyAlignment="1" applyProtection="1">
      <alignment vertical="center"/>
      <protection locked="0" hidden="1"/>
    </xf>
    <xf numFmtId="0" fontId="0" fillId="0" borderId="0" xfId="0" applyProtection="1">
      <protection locked="0"/>
    </xf>
    <xf numFmtId="0" fontId="42" fillId="10" borderId="0" xfId="0" applyFont="1" applyFill="1" applyAlignment="1">
      <alignment horizontal="center"/>
    </xf>
    <xf numFmtId="0" fontId="0" fillId="3" borderId="7" xfId="0" applyFont="1" applyFill="1" applyBorder="1" applyAlignment="1" applyProtection="1">
      <alignment horizontal="left" vertical="center" wrapText="1"/>
    </xf>
    <xf numFmtId="0" fontId="18" fillId="3" borderId="7" xfId="0" applyFont="1" applyFill="1" applyBorder="1" applyAlignment="1" applyProtection="1">
      <alignment horizontal="left" vertical="center" wrapText="1"/>
    </xf>
    <xf numFmtId="0" fontId="0" fillId="11" borderId="0" xfId="0" applyFill="1" applyAlignment="1">
      <alignment vertical="center"/>
    </xf>
    <xf numFmtId="0" fontId="0" fillId="11" borderId="17" xfId="0" applyFill="1" applyBorder="1" applyAlignment="1">
      <alignment vertical="center"/>
    </xf>
    <xf numFmtId="0" fontId="4" fillId="11" borderId="2" xfId="0" applyFont="1" applyFill="1" applyBorder="1" applyAlignment="1">
      <alignment horizontal="left" vertical="center" indent="1"/>
    </xf>
    <xf numFmtId="0" fontId="27" fillId="11" borderId="0" xfId="0" applyFont="1" applyFill="1" applyAlignment="1" applyProtection="1">
      <alignment horizontal="center" vertical="center" wrapText="1"/>
      <protection hidden="1"/>
    </xf>
    <xf numFmtId="0" fontId="17" fillId="11" borderId="0" xfId="0" applyFont="1" applyFill="1" applyAlignment="1" applyProtection="1">
      <alignment vertical="center" wrapText="1"/>
      <protection hidden="1"/>
    </xf>
    <xf numFmtId="0" fontId="16" fillId="11" borderId="1" xfId="0" applyFont="1" applyFill="1" applyBorder="1" applyAlignment="1">
      <alignment horizontal="center" vertical="center"/>
    </xf>
    <xf numFmtId="0" fontId="18" fillId="11" borderId="2" xfId="0" applyFont="1" applyFill="1" applyBorder="1" applyAlignment="1" applyProtection="1">
      <alignment horizontal="left" vertical="center" wrapText="1"/>
    </xf>
    <xf numFmtId="49" fontId="43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43" fillId="11" borderId="3" xfId="0" applyNumberFormat="1" applyFont="1" applyFill="1" applyBorder="1" applyAlignment="1" applyProtection="1">
      <alignment horizontal="center" vertical="center" wrapText="1"/>
      <protection hidden="1"/>
    </xf>
    <xf numFmtId="0" fontId="3" fillId="13" borderId="0" xfId="0" applyFont="1" applyFill="1" applyAlignment="1">
      <alignment vertical="center"/>
    </xf>
    <xf numFmtId="0" fontId="2" fillId="13" borderId="0" xfId="0" applyFont="1" applyFill="1" applyAlignment="1">
      <alignment horizontal="center" vertical="center"/>
    </xf>
    <xf numFmtId="0" fontId="0" fillId="14" borderId="0" xfId="0" applyFill="1" applyAlignment="1">
      <alignment vertical="center"/>
    </xf>
    <xf numFmtId="0" fontId="27" fillId="15" borderId="0" xfId="0" applyFont="1" applyFill="1" applyAlignment="1" applyProtection="1">
      <alignment horizontal="center" vertical="center" wrapText="1"/>
      <protection hidden="1"/>
    </xf>
    <xf numFmtId="0" fontId="3" fillId="17" borderId="0" xfId="0" applyFont="1" applyFill="1" applyAlignment="1">
      <alignment vertical="center"/>
    </xf>
    <xf numFmtId="0" fontId="0" fillId="17" borderId="0" xfId="0" applyFill="1" applyAlignment="1">
      <alignment vertical="center"/>
    </xf>
    <xf numFmtId="0" fontId="5" fillId="17" borderId="0" xfId="0" applyFont="1" applyFill="1" applyAlignment="1">
      <alignment horizontal="center" vertical="center"/>
    </xf>
    <xf numFmtId="0" fontId="27" fillId="17" borderId="0" xfId="0" applyFont="1" applyFill="1" applyAlignment="1" applyProtection="1">
      <alignment horizontal="center" vertical="center" wrapText="1"/>
      <protection hidden="1"/>
    </xf>
    <xf numFmtId="0" fontId="17" fillId="17" borderId="0" xfId="0" applyFont="1" applyFill="1" applyBorder="1" applyAlignment="1" applyProtection="1">
      <alignment horizontal="center" vertical="center"/>
      <protection hidden="1"/>
    </xf>
    <xf numFmtId="0" fontId="0" fillId="17" borderId="17" xfId="0" applyFill="1" applyBorder="1" applyAlignment="1">
      <alignment vertical="center"/>
    </xf>
    <xf numFmtId="0" fontId="25" fillId="17" borderId="0" xfId="0" applyFont="1" applyFill="1" applyBorder="1" applyAlignment="1">
      <alignment vertical="center"/>
    </xf>
    <xf numFmtId="0" fontId="0" fillId="17" borderId="0" xfId="0" applyFill="1" applyBorder="1" applyAlignment="1"/>
    <xf numFmtId="0" fontId="0" fillId="17" borderId="0" xfId="0" applyFill="1" applyAlignment="1"/>
    <xf numFmtId="0" fontId="2" fillId="17" borderId="0" xfId="0" applyFont="1" applyFill="1" applyBorder="1" applyAlignment="1">
      <alignment vertical="center"/>
    </xf>
    <xf numFmtId="0" fontId="2" fillId="17" borderId="19" xfId="0" applyFont="1" applyFill="1" applyBorder="1" applyAlignment="1">
      <alignment vertical="center"/>
    </xf>
    <xf numFmtId="0" fontId="5" fillId="17" borderId="0" xfId="0" applyFont="1" applyFill="1" applyBorder="1" applyAlignment="1" applyProtection="1">
      <alignment horizontal="center" vertical="center"/>
      <protection hidden="1"/>
    </xf>
    <xf numFmtId="0" fontId="29" fillId="17" borderId="0" xfId="0" applyFont="1" applyFill="1" applyBorder="1" applyAlignment="1" applyProtection="1">
      <alignment horizontal="center" vertical="center" wrapText="1"/>
      <protection hidden="1"/>
    </xf>
    <xf numFmtId="0" fontId="12" fillId="17" borderId="0" xfId="0" applyFont="1" applyFill="1" applyBorder="1" applyAlignment="1">
      <alignment horizontal="right" vertical="center" indent="1"/>
    </xf>
    <xf numFmtId="0" fontId="31" fillId="17" borderId="0" xfId="0" applyFont="1" applyFill="1" applyBorder="1" applyAlignment="1" applyProtection="1">
      <alignment vertical="center" wrapText="1"/>
      <protection hidden="1"/>
    </xf>
    <xf numFmtId="0" fontId="29" fillId="17" borderId="0" xfId="0" applyFont="1" applyFill="1" applyAlignment="1" applyProtection="1">
      <alignment horizontal="center" vertical="center" wrapText="1"/>
      <protection hidden="1"/>
    </xf>
    <xf numFmtId="0" fontId="0" fillId="17" borderId="19" xfId="0" applyFill="1" applyBorder="1" applyAlignment="1">
      <alignment vertical="center"/>
    </xf>
    <xf numFmtId="165" fontId="5" fillId="17" borderId="0" xfId="0" applyNumberFormat="1" applyFont="1" applyFill="1" applyAlignment="1" applyProtection="1">
      <alignment horizontal="center" vertical="center"/>
      <protection hidden="1"/>
    </xf>
    <xf numFmtId="0" fontId="2" fillId="17" borderId="0" xfId="0" applyFont="1" applyFill="1" applyAlignment="1" applyProtection="1">
      <alignment vertical="center" wrapText="1"/>
      <protection hidden="1"/>
    </xf>
    <xf numFmtId="0" fontId="40" fillId="17" borderId="28" xfId="0" applyFont="1" applyFill="1" applyBorder="1" applyAlignment="1" applyProtection="1">
      <alignment vertical="center" wrapText="1"/>
      <protection hidden="1"/>
    </xf>
    <xf numFmtId="0" fontId="0" fillId="17" borderId="14" xfId="0" applyFill="1" applyBorder="1" applyAlignment="1">
      <alignment vertical="center"/>
    </xf>
    <xf numFmtId="0" fontId="29" fillId="17" borderId="14" xfId="0" applyFont="1" applyFill="1" applyBorder="1" applyAlignment="1" applyProtection="1">
      <alignment horizontal="center" vertical="center" wrapText="1"/>
      <protection hidden="1"/>
    </xf>
    <xf numFmtId="0" fontId="2" fillId="17" borderId="14" xfId="0" applyFont="1" applyFill="1" applyBorder="1" applyAlignment="1" applyProtection="1">
      <alignment vertical="center" wrapText="1"/>
      <protection hidden="1"/>
    </xf>
    <xf numFmtId="0" fontId="0" fillId="17" borderId="18" xfId="0" applyFill="1" applyBorder="1" applyAlignment="1">
      <alignment vertical="center"/>
    </xf>
    <xf numFmtId="0" fontId="8" fillId="17" borderId="15" xfId="0" applyFont="1" applyFill="1" applyBorder="1" applyAlignment="1">
      <alignment vertical="center"/>
    </xf>
    <xf numFmtId="0" fontId="0" fillId="17" borderId="15" xfId="0" applyFill="1" applyBorder="1" applyAlignment="1">
      <alignment vertical="center"/>
    </xf>
    <xf numFmtId="0" fontId="9" fillId="17" borderId="15" xfId="0" applyFont="1" applyFill="1" applyBorder="1" applyAlignment="1" applyProtection="1">
      <alignment vertical="center"/>
      <protection hidden="1"/>
    </xf>
    <xf numFmtId="0" fontId="20" fillId="17" borderId="15" xfId="0" applyFont="1" applyFill="1" applyBorder="1" applyAlignment="1" applyProtection="1">
      <protection hidden="1"/>
    </xf>
    <xf numFmtId="0" fontId="32" fillId="17" borderId="16" xfId="0" applyFont="1" applyFill="1" applyBorder="1" applyAlignment="1">
      <alignment horizontal="right" vertical="center"/>
    </xf>
    <xf numFmtId="0" fontId="15" fillId="17" borderId="22" xfId="0" applyFont="1" applyFill="1" applyBorder="1" applyAlignment="1" applyProtection="1">
      <alignment vertical="center"/>
      <protection hidden="1"/>
    </xf>
    <xf numFmtId="0" fontId="0" fillId="17" borderId="0" xfId="0" applyFill="1" applyBorder="1" applyAlignment="1" applyProtection="1">
      <alignment vertical="center"/>
      <protection hidden="1"/>
    </xf>
    <xf numFmtId="0" fontId="20" fillId="17" borderId="0" xfId="0" applyFont="1" applyFill="1" applyBorder="1" applyAlignment="1" applyProtection="1">
      <alignment vertical="top"/>
      <protection hidden="1"/>
    </xf>
    <xf numFmtId="0" fontId="15" fillId="17" borderId="21" xfId="0" applyFont="1" applyFill="1" applyBorder="1" applyAlignment="1" applyProtection="1">
      <alignment vertical="center"/>
      <protection hidden="1"/>
    </xf>
    <xf numFmtId="0" fontId="0" fillId="17" borderId="14" xfId="0" applyFill="1" applyBorder="1" applyAlignment="1" applyProtection="1">
      <alignment vertical="center"/>
      <protection hidden="1"/>
    </xf>
    <xf numFmtId="0" fontId="21" fillId="17" borderId="14" xfId="0" applyFont="1" applyFill="1" applyBorder="1" applyAlignment="1" applyProtection="1">
      <alignment horizontal="right" vertical="center"/>
      <protection hidden="1"/>
    </xf>
    <xf numFmtId="0" fontId="23" fillId="17" borderId="14" xfId="0" applyFont="1" applyFill="1" applyBorder="1" applyAlignment="1" applyProtection="1">
      <alignment vertical="center"/>
      <protection hidden="1"/>
    </xf>
    <xf numFmtId="0" fontId="12" fillId="17" borderId="18" xfId="0" applyFont="1" applyFill="1" applyBorder="1" applyAlignment="1" applyProtection="1">
      <alignment horizontal="right" vertical="center"/>
      <protection hidden="1"/>
    </xf>
    <xf numFmtId="0" fontId="30" fillId="5" borderId="0" xfId="0" applyFont="1" applyFill="1" applyBorder="1" applyAlignment="1" applyProtection="1">
      <alignment vertical="center" wrapText="1"/>
      <protection hidden="1"/>
    </xf>
    <xf numFmtId="0" fontId="2" fillId="12" borderId="0" xfId="0" applyFont="1" applyFill="1" applyBorder="1" applyAlignment="1">
      <alignment vertical="center"/>
    </xf>
    <xf numFmtId="0" fontId="2" fillId="12" borderId="8" xfId="0" applyFont="1" applyFill="1" applyBorder="1" applyAlignment="1">
      <alignment vertical="center"/>
    </xf>
    <xf numFmtId="0" fontId="44" fillId="17" borderId="37" xfId="0" applyFont="1" applyFill="1" applyBorder="1" applyAlignment="1">
      <alignment horizontal="right" vertical="top"/>
    </xf>
    <xf numFmtId="0" fontId="5" fillId="17" borderId="39" xfId="0" applyFont="1" applyFill="1" applyBorder="1" applyAlignment="1" applyProtection="1">
      <alignment horizontal="center" vertical="center"/>
      <protection hidden="1"/>
    </xf>
    <xf numFmtId="0" fontId="2" fillId="17" borderId="39" xfId="0" applyFont="1" applyFill="1" applyBorder="1" applyAlignment="1">
      <alignment vertical="center"/>
    </xf>
    <xf numFmtId="0" fontId="29" fillId="17" borderId="39" xfId="0" applyFont="1" applyFill="1" applyBorder="1" applyAlignment="1" applyProtection="1">
      <alignment horizontal="center" vertical="center" wrapText="1"/>
      <protection hidden="1"/>
    </xf>
    <xf numFmtId="0" fontId="31" fillId="17" borderId="39" xfId="0" applyFont="1" applyFill="1" applyBorder="1" applyAlignment="1" applyProtection="1">
      <alignment vertical="center" wrapText="1"/>
      <protection hidden="1"/>
    </xf>
    <xf numFmtId="0" fontId="45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34" fillId="17" borderId="0" xfId="0" applyFont="1" applyFill="1" applyBorder="1" applyAlignment="1">
      <alignment horizontal="right" vertical="center" indent="1"/>
    </xf>
    <xf numFmtId="0" fontId="46" fillId="0" borderId="0" xfId="0" applyFont="1" applyAlignment="1">
      <alignment vertical="center"/>
    </xf>
    <xf numFmtId="0" fontId="40" fillId="17" borderId="28" xfId="0" applyFont="1" applyFill="1" applyBorder="1" applyAlignment="1" applyProtection="1">
      <alignment horizontal="center" vertical="center" wrapText="1"/>
      <protection hidden="1"/>
    </xf>
    <xf numFmtId="0" fontId="34" fillId="17" borderId="7" xfId="0" applyFont="1" applyFill="1" applyBorder="1" applyAlignment="1">
      <alignment horizontal="right" vertical="center" indent="1"/>
    </xf>
    <xf numFmtId="0" fontId="34" fillId="17" borderId="27" xfId="0" applyFont="1" applyFill="1" applyBorder="1" applyAlignment="1">
      <alignment horizontal="right" vertical="center" indent="1"/>
    </xf>
    <xf numFmtId="0" fontId="4" fillId="0" borderId="0" xfId="0" applyFont="1" applyBorder="1" applyAlignment="1" applyProtection="1">
      <alignment vertical="center"/>
      <protection hidden="1"/>
    </xf>
    <xf numFmtId="0" fontId="17" fillId="0" borderId="0" xfId="0" applyNumberFormat="1" applyFont="1" applyBorder="1" applyProtection="1">
      <protection hidden="1"/>
    </xf>
    <xf numFmtId="0" fontId="17" fillId="0" borderId="40" xfId="0" applyNumberFormat="1" applyFont="1" applyBorder="1" applyProtection="1">
      <protection hidden="1"/>
    </xf>
    <xf numFmtId="0" fontId="17" fillId="0" borderId="41" xfId="0" applyNumberFormat="1" applyFont="1" applyBorder="1" applyProtection="1">
      <protection hidden="1"/>
    </xf>
    <xf numFmtId="0" fontId="17" fillId="0" borderId="42" xfId="0" applyNumberFormat="1" applyFont="1" applyBorder="1" applyProtection="1">
      <protection hidden="1"/>
    </xf>
    <xf numFmtId="0" fontId="0" fillId="17" borderId="0" xfId="0" applyFill="1" applyAlignment="1">
      <alignment horizontal="right" vertical="center" indent="1"/>
    </xf>
    <xf numFmtId="0" fontId="1" fillId="0" borderId="5" xfId="0" applyFont="1" applyFill="1" applyBorder="1" applyAlignment="1" applyProtection="1">
      <alignment vertical="center" wrapText="1"/>
      <protection locked="0"/>
    </xf>
    <xf numFmtId="0" fontId="1" fillId="0" borderId="6" xfId="0" applyFont="1" applyFill="1" applyBorder="1" applyAlignment="1" applyProtection="1">
      <alignment vertical="center" wrapText="1"/>
      <protection locked="0"/>
    </xf>
    <xf numFmtId="0" fontId="0" fillId="17" borderId="7" xfId="0" applyFill="1" applyBorder="1" applyAlignment="1">
      <alignment horizontal="right" vertical="center" indent="1"/>
    </xf>
    <xf numFmtId="0" fontId="0" fillId="17" borderId="27" xfId="0" applyFill="1" applyBorder="1" applyAlignment="1">
      <alignment horizontal="right" vertical="center" indent="1"/>
    </xf>
    <xf numFmtId="0" fontId="2" fillId="17" borderId="0" xfId="0" applyFont="1" applyFill="1" applyAlignment="1">
      <alignment vertical="center"/>
    </xf>
    <xf numFmtId="0" fontId="17" fillId="16" borderId="0" xfId="0" applyFont="1" applyFill="1" applyAlignment="1" applyProtection="1">
      <alignment horizontal="center" vertical="center"/>
      <protection hidden="1"/>
    </xf>
    <xf numFmtId="0" fontId="27" fillId="17" borderId="15" xfId="0" applyFont="1" applyFill="1" applyBorder="1" applyProtection="1">
      <protection hidden="1"/>
    </xf>
    <xf numFmtId="0" fontId="27" fillId="17" borderId="0" xfId="0" applyFont="1" applyFill="1" applyAlignment="1" applyProtection="1">
      <alignment vertical="top"/>
      <protection hidden="1"/>
    </xf>
    <xf numFmtId="0" fontId="4" fillId="17" borderId="7" xfId="0" applyFont="1" applyFill="1" applyBorder="1" applyAlignment="1" applyProtection="1">
      <alignment horizontal="left" vertical="center"/>
      <protection hidden="1"/>
    </xf>
    <xf numFmtId="0" fontId="4" fillId="17" borderId="7" xfId="0" applyFont="1" applyFill="1" applyBorder="1" applyAlignment="1">
      <alignment horizontal="left" vertical="center" indent="1"/>
    </xf>
    <xf numFmtId="0" fontId="0" fillId="2" borderId="43" xfId="0" applyFill="1" applyBorder="1" applyAlignment="1">
      <alignment vertical="center"/>
    </xf>
    <xf numFmtId="0" fontId="0" fillId="2" borderId="0" xfId="0" applyFont="1" applyFill="1" applyAlignment="1">
      <alignment vertical="center"/>
    </xf>
    <xf numFmtId="0" fontId="0" fillId="3" borderId="0" xfId="0" applyFont="1" applyFill="1" applyBorder="1" applyAlignment="1">
      <alignment horizontal="right" vertical="center" indent="1"/>
    </xf>
    <xf numFmtId="0" fontId="8" fillId="3" borderId="20" xfId="0" applyFont="1" applyFill="1" applyBorder="1" applyAlignment="1">
      <alignment vertical="center"/>
    </xf>
    <xf numFmtId="0" fontId="0" fillId="0" borderId="0" xfId="0" applyProtection="1">
      <protection locked="0"/>
    </xf>
    <xf numFmtId="0" fontId="0" fillId="0" borderId="0" xfId="0" applyFill="1" applyBorder="1" applyAlignment="1" applyProtection="1">
      <alignment horizontal="left" vertical="top" wrapText="1" indent="1"/>
      <protection locked="0"/>
    </xf>
    <xf numFmtId="0" fontId="38" fillId="3" borderId="0" xfId="0" applyFont="1" applyFill="1" applyBorder="1" applyAlignment="1" applyProtection="1">
      <alignment horizontal="left" vertical="top" wrapText="1"/>
      <protection hidden="1"/>
    </xf>
    <xf numFmtId="0" fontId="38" fillId="3" borderId="0" xfId="0" applyFont="1" applyFill="1" applyBorder="1" applyAlignment="1">
      <alignment horizontal="left" vertical="top" wrapText="1"/>
    </xf>
    <xf numFmtId="0" fontId="0" fillId="0" borderId="0" xfId="0" applyBorder="1" applyAlignment="1" applyProtection="1">
      <alignment horizontal="left" vertical="top" wrapText="1" indent="1"/>
      <protection locked="0"/>
    </xf>
    <xf numFmtId="0" fontId="0" fillId="0" borderId="0" xfId="0" applyBorder="1" applyAlignment="1">
      <alignment horizontal="left"/>
    </xf>
  </cellXfs>
  <cellStyles count="1">
    <cellStyle name="Normální" xfId="0" builtinId="0"/>
  </cellStyles>
  <dxfs count="2">
    <dxf>
      <font>
        <strike/>
        <color rgb="FFFF0000"/>
      </font>
    </dxf>
    <dxf>
      <font>
        <strike/>
        <color rgb="FFFF0000"/>
      </font>
    </dxf>
  </dxfs>
  <tableStyles count="0" defaultTableStyle="TableStyleMedium2" defaultPivotStyle="PivotStyleLight16"/>
  <colors>
    <mruColors>
      <color rgb="FF339933"/>
      <color rgb="FFFFCCCC"/>
      <color rgb="FF0000FF"/>
      <color rgb="FFFFFFCC"/>
      <color rgb="FF0000CC"/>
      <color rgb="FF990033"/>
      <color rgb="FF008000"/>
      <color rgb="FF0033CC"/>
      <color rgb="FFFF6600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3575883</xdr:colOff>
      <xdr:row>2</xdr:row>
      <xdr:rowOff>80209</xdr:rowOff>
    </xdr:from>
    <xdr:to>
      <xdr:col>4</xdr:col>
      <xdr:colOff>104753</xdr:colOff>
      <xdr:row>2</xdr:row>
      <xdr:rowOff>242114</xdr:rowOff>
    </xdr:to>
    <xdr:pic>
      <xdr:nvPicPr>
        <xdr:cNvPr id="2" name="Obrázek 1">
          <a:extLst>
            <a:ext uri="{FF2B5EF4-FFF2-40B4-BE49-F238E27FC236}">
              <a16:creationId xmlns:a16="http://schemas.microsoft.com/office/drawing/2014/main" id="{D1DEEBAA-8611-4CC2-B441-FD663B1A00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6366708" y="470734"/>
          <a:ext cx="157895" cy="16190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0" tint="-0.249977111117893"/>
    <pageSetUpPr fitToPage="1"/>
  </sheetPr>
  <dimension ref="A1:N38"/>
  <sheetViews>
    <sheetView showGridLines="0" tabSelected="1" zoomScaleNormal="100" workbookViewId="0">
      <pane ySplit="1" topLeftCell="A2" activePane="bottomLeft" state="frozen"/>
      <selection activeCell="C29" sqref="C29"/>
      <selection pane="bottomLeft" activeCell="D5" sqref="D5"/>
    </sheetView>
  </sheetViews>
  <sheetFormatPr defaultColWidth="9.140625" defaultRowHeight="15" x14ac:dyDescent="0.25"/>
  <cols>
    <col min="1" max="1" width="0.42578125" style="2" customWidth="1"/>
    <col min="2" max="2" width="4.42578125" style="2" customWidth="1"/>
    <col min="3" max="3" width="38.42578125" style="2" customWidth="1"/>
    <col min="4" max="4" width="54.42578125" style="2" customWidth="1"/>
    <col min="5" max="5" width="10.85546875" style="4" bestFit="1" customWidth="1"/>
    <col min="6" max="6" width="0.42578125" style="2" customWidth="1"/>
    <col min="7" max="7" width="22" style="2" customWidth="1"/>
    <col min="8" max="8" width="60.140625" style="2" customWidth="1"/>
    <col min="9" max="9" width="1.140625" style="2" customWidth="1"/>
    <col min="10" max="10" width="2.42578125" style="2" customWidth="1"/>
    <col min="11" max="11" width="3" style="2" customWidth="1"/>
    <col min="12" max="12" width="40.42578125" style="2" bestFit="1" customWidth="1"/>
    <col min="13" max="13" width="2" style="2" bestFit="1" customWidth="1"/>
    <col min="14" max="16384" width="9.140625" style="2"/>
  </cols>
  <sheetData>
    <row r="1" spans="1:14" ht="28.5" customHeight="1" x14ac:dyDescent="0.25">
      <c r="B1" s="157" t="s">
        <v>122</v>
      </c>
      <c r="C1" s="159"/>
      <c r="D1" s="159"/>
      <c r="E1" s="158" t="s">
        <v>125</v>
      </c>
      <c r="F1" s="148"/>
      <c r="G1" s="160" t="s">
        <v>126</v>
      </c>
      <c r="H1" s="224" t="s">
        <v>127</v>
      </c>
      <c r="I1" s="149"/>
    </row>
    <row r="2" spans="1:14" ht="2.25" customHeight="1" x14ac:dyDescent="0.25">
      <c r="B2" s="161"/>
      <c r="C2" s="162"/>
      <c r="D2" s="162"/>
      <c r="E2" s="163"/>
      <c r="F2" s="162"/>
      <c r="G2" s="164"/>
      <c r="H2" s="165"/>
      <c r="I2" s="166"/>
    </row>
    <row r="3" spans="1:14" ht="23.25" customHeight="1" thickBot="1" x14ac:dyDescent="0.3">
      <c r="B3" s="167" t="s">
        <v>123</v>
      </c>
      <c r="C3" s="168"/>
      <c r="D3" s="168"/>
      <c r="E3" s="167" t="s">
        <v>91</v>
      </c>
      <c r="F3" s="169"/>
      <c r="G3" s="223" t="s">
        <v>124</v>
      </c>
      <c r="H3" s="162"/>
      <c r="I3" s="166"/>
    </row>
    <row r="4" spans="1:14" ht="16.5" thickBot="1" x14ac:dyDescent="0.3">
      <c r="B4" s="153" t="s">
        <v>41</v>
      </c>
      <c r="C4" s="150" t="s">
        <v>109</v>
      </c>
      <c r="D4" s="154" t="s">
        <v>41</v>
      </c>
      <c r="E4" s="156" t="s">
        <v>0</v>
      </c>
      <c r="F4" s="170"/>
      <c r="G4" s="151"/>
      <c r="H4" s="152"/>
      <c r="I4" s="171"/>
      <c r="J4" s="3"/>
    </row>
    <row r="5" spans="1:14" ht="15.75" thickBot="1" x14ac:dyDescent="0.3">
      <c r="A5" s="207"/>
      <c r="B5" s="208">
        <v>5</v>
      </c>
      <c r="C5" s="218" t="s">
        <v>105</v>
      </c>
      <c r="D5" s="45"/>
      <c r="E5" s="172" t="str">
        <f>IF(D$5=Data!A2,Data!B2,IF(D$5=Data!A3,Data!B3,IF(D$5=Data!A4,Data!B4,IF(D$5=Data!A5,Data!B5,IF(D$5=Data!A6,Data!B6,IF(D$5=Data!A7,Data!B7,IF(D$5=Data!A8,Data!B8,IF(D$5=Data!A9,Data!B9,IF(D$5=Data!A10,Data!B10,IF(D$5=Data!A11,Data!B11,IF(D$5=Data!A12,Data!B12,IF(D$5=Data!A13,Data!B13,IF(D$5=Data!A14,Data!B14,IF(D$5=Data!A15,Data!B15,IF(D$5=Data!A16,Data!B16,IF(D$5=Data!A17,Data!B17,""))))))))))))))))</f>
        <v/>
      </c>
      <c r="F5" s="170"/>
      <c r="G5" s="173"/>
      <c r="H5" s="175"/>
      <c r="I5" s="171"/>
      <c r="J5" s="3"/>
    </row>
    <row r="6" spans="1:14" ht="19.5" thickBot="1" x14ac:dyDescent="0.3">
      <c r="A6" s="207"/>
      <c r="B6" s="208">
        <v>6</v>
      </c>
      <c r="C6" s="218" t="s">
        <v>106</v>
      </c>
      <c r="D6" s="45"/>
      <c r="E6" s="172" t="str">
        <f>IF(D$6=Data!A17,Data!B17,IF(D$6=Data!A18,Data!B18,IF(D$6=Data!A19,Data!B19,IF(D$6=Data!A20,Data!B20,IF(D$6=Data!A21,Data!B21,IF(D$6=Data!A22,Data!B22,""))))))</f>
        <v/>
      </c>
      <c r="F6" s="170"/>
      <c r="G6" s="173"/>
      <c r="H6" s="198" t="str">
        <f>IF(E5="xx","",IF(E5&gt;"08",IF(D6="","",IF(E6=2,"Not - Flanges ASME are possible to use for dimenzion DN600 or smaller!","")),IF(E5&lt;"09",IF(D6="","",IF(E6=4,"Not  - Flanges AWWA use for dimenzions DN700 or bigger!","")),"")))</f>
        <v/>
      </c>
      <c r="I6" s="171"/>
      <c r="J6" s="3"/>
      <c r="K6" s="206"/>
    </row>
    <row r="7" spans="1:14" s="68" customFormat="1" ht="15.75" thickBot="1" x14ac:dyDescent="0.3">
      <c r="A7" s="207"/>
      <c r="B7" s="208">
        <v>7</v>
      </c>
      <c r="C7" s="218" t="s">
        <v>107</v>
      </c>
      <c r="D7" s="45"/>
      <c r="E7" s="172" t="str">
        <f>IF(D$7=Data!A24,Data!B24,IF(D$7=Data!A25,Data!B25,""))</f>
        <v/>
      </c>
      <c r="F7" s="170"/>
      <c r="G7" s="173"/>
      <c r="H7" s="175"/>
      <c r="I7" s="171"/>
      <c r="J7" s="3"/>
    </row>
    <row r="8" spans="1:14" ht="15.75" thickBot="1" x14ac:dyDescent="0.3">
      <c r="A8" s="207"/>
      <c r="B8" s="208">
        <v>8</v>
      </c>
      <c r="C8" s="218" t="s">
        <v>108</v>
      </c>
      <c r="D8" s="44"/>
      <c r="E8" s="202" t="str">
        <f>IF($D$8=Data!A27,Data!B27,IF($D$8=Data!A28,Data!B28,IF($D$8=Data!A29,Data!B29,IF($D$8=Data!A30,Data!B30,IF($D$8=Data!A31,Data!B31,"")))))</f>
        <v/>
      </c>
      <c r="F8" s="203"/>
      <c r="G8" s="204"/>
      <c r="H8" s="205"/>
      <c r="I8" s="201" t="s">
        <v>128</v>
      </c>
      <c r="J8" s="3"/>
    </row>
    <row r="9" spans="1:14" ht="16.5" thickBot="1" x14ac:dyDescent="0.3">
      <c r="B9" s="153" t="s">
        <v>41</v>
      </c>
      <c r="C9" s="150" t="s">
        <v>110</v>
      </c>
      <c r="D9" s="154" t="s">
        <v>41</v>
      </c>
      <c r="E9" s="155" t="s">
        <v>0</v>
      </c>
      <c r="F9" s="199"/>
      <c r="G9" s="151"/>
      <c r="H9" s="152"/>
      <c r="I9" s="171"/>
      <c r="J9" s="3"/>
      <c r="K9" s="68"/>
    </row>
    <row r="10" spans="1:14" ht="15.75" thickBot="1" x14ac:dyDescent="0.3">
      <c r="A10" s="209"/>
      <c r="B10" s="208">
        <v>10</v>
      </c>
      <c r="C10" s="218" t="s">
        <v>111</v>
      </c>
      <c r="D10" s="51"/>
      <c r="E10" s="172" t="str">
        <f>IF(D10=Data!A33,Data!B33,IF(D10=Data!A34,Data!B34,""))</f>
        <v/>
      </c>
      <c r="F10" s="170"/>
      <c r="G10" s="173"/>
      <c r="H10" s="175"/>
      <c r="I10" s="171"/>
      <c r="J10" s="3"/>
    </row>
    <row r="11" spans="1:14" ht="15.75" thickBot="1" x14ac:dyDescent="0.3">
      <c r="A11" s="209"/>
      <c r="B11" s="208">
        <v>11</v>
      </c>
      <c r="C11" s="174" t="s">
        <v>112</v>
      </c>
      <c r="D11" s="127"/>
      <c r="E11" s="172" t="str">
        <f>IF(D11=Data!A36,Data!B36,IF(D11=Data!A37,Data!B37,IF(D11=Data!A38,Data!B38,"")))</f>
        <v/>
      </c>
      <c r="F11" s="162"/>
      <c r="G11" s="176"/>
      <c r="H11" s="175"/>
      <c r="I11" s="177"/>
    </row>
    <row r="12" spans="1:14" ht="15.75" thickBot="1" x14ac:dyDescent="0.3">
      <c r="A12" s="209"/>
      <c r="B12" s="208">
        <v>12</v>
      </c>
      <c r="C12" s="174" t="s">
        <v>113</v>
      </c>
      <c r="D12" s="127"/>
      <c r="E12" s="172" t="str">
        <f>IF(D12=Data!A40,Data!B40,IF(D12=Data!A41,Data!B41,IF(D12=Data!A42,Data!B42,"")))</f>
        <v/>
      </c>
      <c r="F12" s="162"/>
      <c r="G12" s="176"/>
      <c r="H12" s="175"/>
      <c r="I12" s="177"/>
    </row>
    <row r="13" spans="1:14" ht="15.75" thickBot="1" x14ac:dyDescent="0.3">
      <c r="B13" s="208">
        <v>13</v>
      </c>
      <c r="C13" s="231" t="s">
        <v>115</v>
      </c>
      <c r="D13" s="219"/>
      <c r="E13" s="172" t="str">
        <f>IF(D13=Data!A44,Data!B44,IF(D13=Data!A45,Data!B45,IF(D13=Data!A46,Data!B46,IF(D13=Data!A47,Data!B47,IF(D13=Data!A48,Data!B48,"")))))</f>
        <v/>
      </c>
      <c r="F13" s="162"/>
      <c r="G13" s="176"/>
      <c r="H13" s="175"/>
      <c r="I13" s="177"/>
      <c r="K13" s="68"/>
      <c r="L13" s="68"/>
    </row>
    <row r="14" spans="1:14" ht="15.75" thickBot="1" x14ac:dyDescent="0.3">
      <c r="B14" s="208">
        <v>14</v>
      </c>
      <c r="C14" s="231" t="s">
        <v>114</v>
      </c>
      <c r="D14" s="220"/>
      <c r="E14" s="172" t="str">
        <f>IF(D14=Data!A50,Data!B50,IF(D14=Data!A51,Data!B51,IF(D14=Data!A52,Data!B52,IF(D14=Data!A53,Data!B53,IF(D14=Data!A54,Data!B54,IF(D14=Data!A55,Data!B55,IF(D14=Data!A56,Data!B56,IF(D14=Data!A57,Data!B57,""))))))))</f>
        <v/>
      </c>
      <c r="F14" s="162"/>
      <c r="G14" s="176"/>
      <c r="H14" s="175"/>
      <c r="I14" s="177"/>
      <c r="K14" s="68"/>
      <c r="L14" s="68"/>
      <c r="M14" s="68"/>
      <c r="N14" s="68"/>
    </row>
    <row r="15" spans="1:14" ht="16.5" thickBot="1" x14ac:dyDescent="0.3">
      <c r="B15" s="153" t="s">
        <v>41</v>
      </c>
      <c r="C15" s="150" t="s">
        <v>129</v>
      </c>
      <c r="D15" s="154" t="s">
        <v>41</v>
      </c>
      <c r="E15" s="155" t="s">
        <v>0</v>
      </c>
      <c r="F15" s="199"/>
      <c r="G15" s="151"/>
      <c r="H15" s="152"/>
      <c r="I15" s="171"/>
      <c r="K15" s="68"/>
      <c r="L15" s="68"/>
      <c r="M15" s="68"/>
      <c r="N15" s="68"/>
    </row>
    <row r="16" spans="1:14" ht="15.75" thickBot="1" x14ac:dyDescent="0.3">
      <c r="B16" s="208">
        <v>16</v>
      </c>
      <c r="C16" s="218" t="s">
        <v>116</v>
      </c>
      <c r="D16" s="47"/>
      <c r="E16" s="178" t="str">
        <f>IF(D16="","",IF(D16=0,"000",IF(D16&gt;0,D16,"")))</f>
        <v/>
      </c>
      <c r="F16" s="162"/>
      <c r="G16" s="176"/>
      <c r="H16" s="179"/>
      <c r="I16" s="177"/>
      <c r="K16" s="68"/>
      <c r="L16" s="68"/>
      <c r="M16" s="68"/>
      <c r="N16" s="68"/>
    </row>
    <row r="17" spans="2:9" ht="15.75" thickBot="1" x14ac:dyDescent="0.3">
      <c r="B17" s="208">
        <v>17</v>
      </c>
      <c r="C17" s="218" t="s">
        <v>117</v>
      </c>
      <c r="D17" s="15"/>
      <c r="E17" s="172" t="str">
        <f>IF(D17=Data!A61,Data!B61,IF(D17=Data!A62,Data!B62,IF(D17=Data!A63,Data!B63,"")))</f>
        <v/>
      </c>
      <c r="F17" s="162"/>
      <c r="G17" s="176"/>
      <c r="H17" s="179"/>
      <c r="I17" s="177"/>
    </row>
    <row r="18" spans="2:9" ht="15.75" thickBot="1" x14ac:dyDescent="0.3">
      <c r="B18" s="208">
        <v>18</v>
      </c>
      <c r="C18" s="218" t="s">
        <v>118</v>
      </c>
      <c r="D18" s="15"/>
      <c r="E18" s="172" t="str">
        <f>IF(D18=Data!A65,Data!B65,IF(D18=Data!A66,Data!B66,IF(D18=Data!A67,Data!B67,IF(D18=Data!A68,Data!B68,""))))</f>
        <v/>
      </c>
      <c r="F18" s="162"/>
      <c r="G18" s="176"/>
      <c r="H18" s="179"/>
      <c r="I18" s="177"/>
    </row>
    <row r="19" spans="2:9" ht="15.75" thickBot="1" x14ac:dyDescent="0.3">
      <c r="B19" s="208">
        <v>19</v>
      </c>
      <c r="C19" s="218" t="s">
        <v>119</v>
      </c>
      <c r="D19" s="15"/>
      <c r="E19" s="172" t="str">
        <f>IF(D19=Data!A70,Data!B70,IF(D19=Data!A71,Data!B71,IF(D19=Data!A72,Data!B72,IF(D19=Data!A73,Data!B73,IF(D19=Data!A74,Data!B74,IF(D19=Data!A75,Data!B75,""))))))</f>
        <v/>
      </c>
      <c r="F19" s="162"/>
      <c r="G19" s="176"/>
      <c r="H19" s="179"/>
      <c r="I19" s="177"/>
    </row>
    <row r="20" spans="2:9" ht="16.5" thickBot="1" x14ac:dyDescent="0.3">
      <c r="B20" s="153" t="s">
        <v>41</v>
      </c>
      <c r="C20" s="150" t="s">
        <v>130</v>
      </c>
      <c r="D20" s="154" t="s">
        <v>41</v>
      </c>
      <c r="E20" s="155" t="s">
        <v>0</v>
      </c>
      <c r="F20" s="200"/>
      <c r="G20" s="151"/>
      <c r="H20" s="152"/>
      <c r="I20" s="171"/>
    </row>
    <row r="21" spans="2:9" ht="15.75" thickBot="1" x14ac:dyDescent="0.3">
      <c r="B21" s="211">
        <v>21</v>
      </c>
      <c r="C21" s="221" t="s">
        <v>120</v>
      </c>
      <c r="D21" s="180" t="str">
        <f>IF(E5="","","Es90334K/g")</f>
        <v/>
      </c>
      <c r="E21" s="210" t="str">
        <f>IF(E5="","",1)</f>
        <v/>
      </c>
      <c r="F21" s="181"/>
      <c r="G21" s="182"/>
      <c r="H21" s="183"/>
      <c r="I21" s="184"/>
    </row>
    <row r="22" spans="2:9" s="68" customFormat="1" ht="18" thickBot="1" x14ac:dyDescent="0.3">
      <c r="B22" s="212">
        <v>22</v>
      </c>
      <c r="C22" s="222" t="s">
        <v>121</v>
      </c>
      <c r="D22" s="75"/>
      <c r="E22" s="114"/>
      <c r="F22" s="181"/>
      <c r="G22" s="182"/>
      <c r="H22" s="183"/>
      <c r="I22" s="184"/>
    </row>
    <row r="23" spans="2:9" ht="9.75" customHeight="1" thickBot="1" x14ac:dyDescent="0.3">
      <c r="E23" s="37"/>
      <c r="H23" s="22"/>
    </row>
    <row r="24" spans="2:9" ht="20.25" customHeight="1" x14ac:dyDescent="0.2">
      <c r="B24" s="232"/>
      <c r="C24" s="185" t="s">
        <v>174</v>
      </c>
      <c r="D24" s="186"/>
      <c r="E24" s="187"/>
      <c r="F24" s="187"/>
      <c r="G24" s="225" t="s">
        <v>131</v>
      </c>
      <c r="H24" s="188"/>
      <c r="I24" s="189"/>
    </row>
    <row r="25" spans="2:9" ht="19.5" customHeight="1" x14ac:dyDescent="0.25">
      <c r="B25" s="190"/>
      <c r="C25" s="77" t="str">
        <f>IF(Nezadano=0,Tech!B4&amp;Tech!B5&amp;Tech!B6&amp;Tech!B7&amp;Tech!B8&amp;Tech!B9&amp;Tech!B10&amp;Tech!B11&amp;Tech!B12&amp;Tech!B13&amp;Tech!B14&amp;Tech!B15&amp;Tech!B16&amp;Tech!B17&amp;Tech!B18&amp;Tech!B19&amp;Tech!B20&amp;Tech!B21&amp;Tech!B22,"The complete order number is not generated until all parameters have been entered.")</f>
        <v>The complete order number is not generated until all parameters have been entered.</v>
      </c>
      <c r="D25" s="78"/>
      <c r="E25" s="191"/>
      <c r="F25" s="191"/>
      <c r="G25" s="226" t="s">
        <v>132</v>
      </c>
      <c r="H25" s="192"/>
      <c r="I25" s="166"/>
    </row>
    <row r="26" spans="2:9" ht="19.5" customHeight="1" thickBot="1" x14ac:dyDescent="0.3">
      <c r="B26" s="193"/>
      <c r="C26" s="143" t="str">
        <f>IF(NezadanHW=0,Tech!B4&amp;Tech!B5&amp;Tech!B6&amp;Tech!B7,"")</f>
        <v/>
      </c>
      <c r="D26" s="70" t="str">
        <f>IF(NezadanHW=0,"← Část Objednacího čísla definující konstrukci výrobku.","")</f>
        <v/>
      </c>
      <c r="E26" s="194"/>
      <c r="F26" s="195"/>
      <c r="G26" s="196"/>
      <c r="H26" s="196"/>
      <c r="I26" s="197"/>
    </row>
    <row r="27" spans="2:9" ht="9.75" customHeight="1" thickBot="1" x14ac:dyDescent="0.3">
      <c r="E27" s="37"/>
      <c r="G27" s="68"/>
      <c r="H27" s="22"/>
      <c r="I27" s="52" t="e">
        <f>IF(Nezadano&gt;=0,Tech!B4&amp;Tech!#REF!&amp;Tech!#REF!&amp;Tech!B5&amp;Tech!B6&amp;Tech!B7&amp;Tech!#REF!&amp;Tech!B8&amp;Tech!#REF!&amp;Tech!#REF!&amp;Tech!#REF!&amp;Tech!#REF!&amp;Tech!#REF!&amp;Tech!#REF!&amp;Tech!#REF!&amp;Tech!#REF!&amp;Tech!#REF!&amp;Tech!B9&amp;Tech!B10&amp;Tech!#REF!&amp;Tech!#REF!&amp;Tech!#REF!&amp;Tech!#REF!&amp;Tech!#REF!&amp;Tech!#REF!&amp;Tech!#REF!&amp;Tech!#REF!&amp;Tech!B12&amp;Tech!B13&amp;Tech!#REF!&amp;Tech!#REF!&amp;Tech!#REF!&amp;Tech!#REF!&amp;Tech!#REF!&amp;Tech!#REF!&amp;Tech!B14&amp;Tech!#REF!&amp;Tech!#REF!&amp;Tech!#REF!&amp;Tech!#REF!&amp;Tech!#REF!&amp;Tech!B15&amp;Tech!B16&amp;Tech!B17&amp;Tech!B18&amp;Tech!B19&amp;Tech!B20&amp;Tech!B21&amp;Tech!B22&amp;Tech!#REF!&amp;Tech!#REF!&amp;Tech!#REF!,"Vygeneruje se až po zadání všech parametrů.")</f>
        <v>#REF!</v>
      </c>
    </row>
    <row r="28" spans="2:9" ht="23.25" customHeight="1" x14ac:dyDescent="0.25">
      <c r="B28" s="21"/>
      <c r="C28" s="228" t="s">
        <v>134</v>
      </c>
      <c r="D28" s="147"/>
      <c r="E28" s="59"/>
      <c r="F28" s="146"/>
      <c r="G28" s="227" t="s">
        <v>133</v>
      </c>
      <c r="H28" s="62"/>
      <c r="I28" s="65"/>
    </row>
    <row r="29" spans="2:9" ht="145.5" customHeight="1" x14ac:dyDescent="0.25">
      <c r="B29" s="16"/>
      <c r="C29" s="234"/>
      <c r="D29" s="234"/>
      <c r="E29" s="60"/>
      <c r="F29" s="17"/>
      <c r="G29" s="235" t="str">
        <f>SoupisNP</f>
        <v/>
      </c>
      <c r="H29" s="236"/>
      <c r="I29" s="66"/>
    </row>
    <row r="30" spans="2:9" ht="8.25" customHeight="1" thickBot="1" x14ac:dyDescent="0.3">
      <c r="B30" s="16"/>
      <c r="C30" s="17"/>
      <c r="D30" s="17"/>
      <c r="E30" s="60"/>
      <c r="F30" s="17"/>
      <c r="G30" s="17"/>
      <c r="H30" s="63"/>
      <c r="I30" s="66"/>
    </row>
    <row r="31" spans="2:9" ht="17.45" customHeight="1" thickBot="1" x14ac:dyDescent="0.3">
      <c r="B31" s="18"/>
      <c r="C31" s="218" t="s">
        <v>135</v>
      </c>
      <c r="D31" s="39"/>
      <c r="E31" s="60"/>
      <c r="F31" s="17"/>
      <c r="G31" s="17"/>
      <c r="H31" s="63"/>
      <c r="I31" s="66"/>
    </row>
    <row r="32" spans="2:9" ht="17.45" customHeight="1" thickBot="1" x14ac:dyDescent="0.3">
      <c r="B32" s="18"/>
      <c r="C32" s="218" t="s">
        <v>136</v>
      </c>
      <c r="D32" s="48"/>
      <c r="E32" s="60"/>
      <c r="F32" s="17"/>
      <c r="G32" s="17"/>
      <c r="H32" s="63"/>
      <c r="I32" s="66"/>
    </row>
    <row r="33" spans="2:9" ht="17.45" customHeight="1" thickBot="1" x14ac:dyDescent="0.3">
      <c r="B33" s="18"/>
      <c r="C33" s="218" t="s">
        <v>137</v>
      </c>
      <c r="D33" s="48"/>
      <c r="E33" s="60"/>
      <c r="F33" s="17"/>
      <c r="G33" s="17"/>
      <c r="H33" s="63"/>
      <c r="I33" s="66"/>
    </row>
    <row r="34" spans="2:9" ht="17.45" customHeight="1" thickBot="1" x14ac:dyDescent="0.3">
      <c r="B34" s="18"/>
      <c r="C34" s="218" t="s">
        <v>138</v>
      </c>
      <c r="D34" s="48"/>
      <c r="E34" s="60"/>
      <c r="F34" s="17"/>
      <c r="G34" s="17"/>
      <c r="H34" s="63"/>
      <c r="I34" s="66"/>
    </row>
    <row r="35" spans="2:9" s="68" customFormat="1" ht="17.45" customHeight="1" thickBot="1" x14ac:dyDescent="0.3">
      <c r="B35" s="18"/>
      <c r="C35" s="218" t="s">
        <v>139</v>
      </c>
      <c r="D35" s="48"/>
      <c r="E35" s="60"/>
      <c r="F35" s="17"/>
      <c r="G35" s="17"/>
      <c r="H35" s="63"/>
      <c r="I35" s="66"/>
    </row>
    <row r="36" spans="2:9" ht="17.45" customHeight="1" thickBot="1" x14ac:dyDescent="0.3">
      <c r="B36" s="18"/>
      <c r="C36" s="218" t="s">
        <v>140</v>
      </c>
      <c r="D36" s="49"/>
      <c r="E36" s="60"/>
      <c r="F36" s="17"/>
      <c r="G36" s="17"/>
      <c r="H36" s="63"/>
      <c r="I36" s="66"/>
    </row>
    <row r="37" spans="2:9" ht="8.25" customHeight="1" thickBot="1" x14ac:dyDescent="0.3">
      <c r="B37" s="19"/>
      <c r="C37" s="20"/>
      <c r="D37" s="20"/>
      <c r="E37" s="61"/>
      <c r="F37" s="20"/>
      <c r="G37" s="20"/>
      <c r="H37" s="64"/>
      <c r="I37" s="67"/>
    </row>
    <row r="38" spans="2:9" ht="17.25" customHeight="1" x14ac:dyDescent="0.25">
      <c r="B38" s="238" t="s">
        <v>187</v>
      </c>
      <c r="C38" s="34"/>
      <c r="D38" s="34"/>
      <c r="E38" s="35"/>
      <c r="F38" s="34"/>
      <c r="G38" s="34"/>
      <c r="H38" s="34"/>
      <c r="I38" s="34"/>
    </row>
  </sheetData>
  <sheetProtection algorithmName="SHA-512" hashValue="4Gg9k56xzbc1QkRb2nC/RIqqovxogp5MGvFEkmsMf3GQY2Qu1aT6O35zIAdq4dFDweHmy1bS/h9VHCBNK1ClWA==" saltValue="fmotdzpumwZtVo51RrAOQQ==" spinCount="100000" sheet="1" formatColumns="0" formatRows="0"/>
  <mergeCells count="2">
    <mergeCell ref="C29:D29"/>
    <mergeCell ref="G29:H29"/>
  </mergeCells>
  <conditionalFormatting sqref="D12">
    <cfRule type="expression" dxfId="1" priority="52">
      <formula>$H$12&lt;&gt;""</formula>
    </cfRule>
  </conditionalFormatting>
  <conditionalFormatting sqref="D11">
    <cfRule type="expression" dxfId="0" priority="125">
      <formula>$H11&lt;&gt;""</formula>
    </cfRule>
  </conditionalFormatting>
  <dataValidations count="14">
    <dataValidation type="list" allowBlank="1" showInputMessage="1" showErrorMessage="1" sqref="D5" xr:uid="{00000000-0002-0000-0000-000002000000}">
      <formula1>OC_DC</formula1>
    </dataValidation>
    <dataValidation type="list" allowBlank="1" showInputMessage="1" showErrorMessage="1" sqref="D6" xr:uid="{00000000-0002-0000-0000-000003000000}">
      <formula1>OC_PC</formula1>
    </dataValidation>
    <dataValidation type="list" allowBlank="1" showInputMessage="1" showErrorMessage="1" sqref="D8" xr:uid="{00000000-0002-0000-0000-000008000000}">
      <formula1>OC_DK</formula1>
    </dataValidation>
    <dataValidation type="list" allowBlank="1" showInputMessage="1" showErrorMessage="1" sqref="D8" xr:uid="{00000000-0002-0000-0000-00000B000000}">
      <formula1>OC_DTdPED</formula1>
    </dataValidation>
    <dataValidation type="list" allowBlank="1" showInputMessage="1" showErrorMessage="1" sqref="D10" xr:uid="{00000000-0002-0000-0000-000010000000}">
      <formula1>OC_PV</formula1>
    </dataValidation>
    <dataValidation type="list" allowBlank="1" showInputMessage="1" showErrorMessage="1" sqref="D11" xr:uid="{00000000-0002-0000-0000-000013000000}">
      <formula1>OC_JO</formula1>
    </dataValidation>
    <dataValidation type="list" allowBlank="1" showInputMessage="1" showErrorMessage="1" sqref="D12" xr:uid="{00000000-0002-0000-0000-000014000000}">
      <formula1>OC_JOP</formula1>
    </dataValidation>
    <dataValidation type="list" allowBlank="1" showInputMessage="1" showErrorMessage="1" sqref="D13" xr:uid="{00000000-0002-0000-0000-000016000000}">
      <formula1>OC_R</formula1>
    </dataValidation>
    <dataValidation type="list" allowBlank="1" showInputMessage="1" showErrorMessage="1" sqref="D14" xr:uid="{00000000-0002-0000-0000-000019000000}">
      <formula1>OC_MP</formula1>
    </dataValidation>
    <dataValidation type="list" allowBlank="1" showInputMessage="1" showErrorMessage="1" sqref="D18" xr:uid="{00000000-0002-0000-0000-00001A000000}">
      <formula1>OC_ZP</formula1>
    </dataValidation>
    <dataValidation type="list" allowBlank="1" showInputMessage="1" showErrorMessage="1" sqref="D19" xr:uid="{00000000-0002-0000-0000-00001B000000}">
      <formula1>OC_Z</formula1>
    </dataValidation>
    <dataValidation type="list" allowBlank="1" showInputMessage="1" showErrorMessage="1" sqref="D17" xr:uid="{00000000-0002-0000-0000-00001E000000}">
      <formula1>OC_B</formula1>
    </dataValidation>
    <dataValidation type="whole" allowBlank="1" showInputMessage="1" showErrorMessage="1" sqref="D16" xr:uid="{00000000-0002-0000-0000-00001F000000}">
      <formula1>0</formula1>
      <formula2>999</formula2>
    </dataValidation>
    <dataValidation type="list" allowBlank="1" showInputMessage="1" showErrorMessage="1" sqref="D7" xr:uid="{00000000-0002-0000-0000-000020000000}">
      <formula1>OC_KCsS</formula1>
    </dataValidation>
  </dataValidations>
  <pageMargins left="0.62992125984251968" right="0.23622047244094491" top="0.74803149606299213" bottom="0.74803149606299213" header="0.31496062992125984" footer="0.31496062992125984"/>
  <pageSetup paperSize="9" scale="87" fitToHeight="0" orientation="portrait" r:id="rId1"/>
  <headerFooter>
    <oddFooter>&amp;L&amp;"-,Kurzíva"&amp;10Tisk dne: &amp;D&amp;C&amp;"-,Kurzíva"&amp;10&amp;F&amp;R&amp;"-,Kurzíva"&amp;10&amp;P / &amp;N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75"/>
  <sheetViews>
    <sheetView zoomScaleNormal="100" workbookViewId="0">
      <pane ySplit="1" topLeftCell="A2" activePane="bottomLeft" state="frozen"/>
      <selection activeCell="C29" sqref="C29"/>
      <selection pane="bottomLeft" activeCell="C29" sqref="C29"/>
    </sheetView>
  </sheetViews>
  <sheetFormatPr defaultRowHeight="15" x14ac:dyDescent="0.25"/>
  <cols>
    <col min="1" max="1" width="56.5703125" customWidth="1"/>
    <col min="3" max="3" width="31.5703125" customWidth="1"/>
  </cols>
  <sheetData>
    <row r="1" spans="1:10" x14ac:dyDescent="0.25">
      <c r="A1" s="9" t="s">
        <v>95</v>
      </c>
      <c r="B1" s="76" t="s">
        <v>60</v>
      </c>
      <c r="C1" s="145" t="s">
        <v>104</v>
      </c>
    </row>
    <row r="2" spans="1:10" s="115" customFormat="1" x14ac:dyDescent="0.25">
      <c r="A2" s="120" t="s">
        <v>151</v>
      </c>
      <c r="B2" s="116" t="s">
        <v>4</v>
      </c>
      <c r="C2" s="144"/>
      <c r="H2" s="124"/>
      <c r="I2" s="124"/>
      <c r="J2" s="124"/>
    </row>
    <row r="3" spans="1:10" s="115" customFormat="1" x14ac:dyDescent="0.25">
      <c r="A3" s="120" t="s">
        <v>152</v>
      </c>
      <c r="B3" s="116" t="s">
        <v>5</v>
      </c>
      <c r="C3" s="144"/>
      <c r="H3" s="124"/>
      <c r="I3" s="124"/>
      <c r="J3" s="124"/>
    </row>
    <row r="4" spans="1:10" s="115" customFormat="1" x14ac:dyDescent="0.25">
      <c r="A4" s="120" t="s">
        <v>153</v>
      </c>
      <c r="B4" s="116" t="s">
        <v>6</v>
      </c>
      <c r="C4" s="144"/>
      <c r="H4" s="124"/>
      <c r="I4" s="124"/>
      <c r="J4" s="124"/>
    </row>
    <row r="5" spans="1:10" x14ac:dyDescent="0.25">
      <c r="A5" s="125" t="s">
        <v>141</v>
      </c>
      <c r="B5" s="116" t="s">
        <v>7</v>
      </c>
      <c r="C5" s="144"/>
      <c r="H5" s="124"/>
      <c r="I5" s="124"/>
      <c r="J5" s="124"/>
    </row>
    <row r="6" spans="1:10" x14ac:dyDescent="0.25">
      <c r="A6" s="125" t="s">
        <v>142</v>
      </c>
      <c r="B6" s="116" t="s">
        <v>8</v>
      </c>
      <c r="C6" s="144"/>
      <c r="H6" s="124"/>
      <c r="I6" s="124"/>
      <c r="J6" s="124"/>
    </row>
    <row r="7" spans="1:10" x14ac:dyDescent="0.25">
      <c r="A7" s="125" t="s">
        <v>143</v>
      </c>
      <c r="B7" s="116" t="s">
        <v>9</v>
      </c>
      <c r="C7" s="144"/>
      <c r="H7" s="124"/>
      <c r="I7" s="124"/>
      <c r="J7" s="124"/>
    </row>
    <row r="8" spans="1:10" x14ac:dyDescent="0.25">
      <c r="A8" s="125" t="s">
        <v>144</v>
      </c>
      <c r="B8" s="116" t="s">
        <v>10</v>
      </c>
      <c r="C8" s="144"/>
      <c r="H8" s="124"/>
      <c r="I8" s="124"/>
      <c r="J8" s="124"/>
    </row>
    <row r="9" spans="1:10" x14ac:dyDescent="0.25">
      <c r="A9" s="125" t="s">
        <v>145</v>
      </c>
      <c r="B9" s="116" t="s">
        <v>11</v>
      </c>
      <c r="C9" s="144"/>
      <c r="D9" s="124"/>
      <c r="H9" s="124"/>
      <c r="I9" s="124"/>
      <c r="J9" s="124"/>
    </row>
    <row r="10" spans="1:10" x14ac:dyDescent="0.25">
      <c r="A10" s="229" t="s">
        <v>146</v>
      </c>
      <c r="B10" s="116" t="s">
        <v>12</v>
      </c>
      <c r="C10" s="144"/>
      <c r="D10" s="124"/>
      <c r="H10" s="124"/>
      <c r="I10" s="124"/>
      <c r="J10" s="124"/>
    </row>
    <row r="11" spans="1:10" x14ac:dyDescent="0.25">
      <c r="A11" s="125" t="s">
        <v>147</v>
      </c>
      <c r="B11" s="116" t="s">
        <v>13</v>
      </c>
      <c r="C11" s="144"/>
      <c r="D11" s="124"/>
      <c r="H11" s="124"/>
      <c r="I11" s="124"/>
      <c r="J11" s="124"/>
    </row>
    <row r="12" spans="1:10" s="124" customFormat="1" x14ac:dyDescent="0.25">
      <c r="A12" s="230" t="s">
        <v>148</v>
      </c>
      <c r="B12" s="133" t="s">
        <v>14</v>
      </c>
      <c r="C12" s="144"/>
    </row>
    <row r="13" spans="1:10" x14ac:dyDescent="0.25">
      <c r="A13" s="125" t="s">
        <v>149</v>
      </c>
      <c r="B13" s="133" t="s">
        <v>15</v>
      </c>
      <c r="C13" s="144"/>
      <c r="H13" s="124"/>
      <c r="I13" s="124"/>
      <c r="J13" s="124"/>
    </row>
    <row r="14" spans="1:10" x14ac:dyDescent="0.25">
      <c r="A14" s="125" t="s">
        <v>150</v>
      </c>
      <c r="B14" s="133" t="s">
        <v>16</v>
      </c>
      <c r="C14" s="144"/>
      <c r="H14" s="124"/>
      <c r="I14" s="124"/>
      <c r="J14" s="124"/>
    </row>
    <row r="15" spans="1:10" x14ac:dyDescent="0.25">
      <c r="A15" s="125" t="s">
        <v>154</v>
      </c>
      <c r="B15" s="116" t="s">
        <v>75</v>
      </c>
      <c r="C15" s="144"/>
    </row>
    <row r="16" spans="1:10" x14ac:dyDescent="0.25">
      <c r="A16" s="9" t="s">
        <v>19</v>
      </c>
      <c r="B16" s="117"/>
      <c r="C16" s="144"/>
    </row>
    <row r="17" spans="1:3" x14ac:dyDescent="0.25">
      <c r="A17" s="125" t="s">
        <v>155</v>
      </c>
      <c r="B17" s="128">
        <v>1</v>
      </c>
      <c r="C17" s="144"/>
    </row>
    <row r="18" spans="1:3" x14ac:dyDescent="0.25">
      <c r="A18" s="125" t="s">
        <v>156</v>
      </c>
      <c r="B18" s="128">
        <v>2</v>
      </c>
      <c r="C18" s="144"/>
    </row>
    <row r="19" spans="1:3" x14ac:dyDescent="0.25">
      <c r="A19" s="120" t="s">
        <v>93</v>
      </c>
      <c r="B19" s="128">
        <v>3</v>
      </c>
      <c r="C19" s="144"/>
    </row>
    <row r="20" spans="1:3" s="124" customFormat="1" x14ac:dyDescent="0.25">
      <c r="A20" s="120" t="s">
        <v>157</v>
      </c>
      <c r="B20" s="128">
        <v>4</v>
      </c>
      <c r="C20" s="144"/>
    </row>
    <row r="21" spans="1:3" x14ac:dyDescent="0.25">
      <c r="A21" s="125" t="s">
        <v>96</v>
      </c>
      <c r="B21" s="128">
        <v>5</v>
      </c>
      <c r="C21" s="144"/>
    </row>
    <row r="22" spans="1:3" x14ac:dyDescent="0.25">
      <c r="A22" s="125" t="s">
        <v>154</v>
      </c>
      <c r="B22" s="128" t="s">
        <v>76</v>
      </c>
      <c r="C22" s="144"/>
    </row>
    <row r="23" spans="1:3" s="69" customFormat="1" x14ac:dyDescent="0.25">
      <c r="A23" s="142" t="s">
        <v>68</v>
      </c>
      <c r="B23" s="116"/>
      <c r="C23" s="144"/>
    </row>
    <row r="24" spans="1:3" s="69" customFormat="1" x14ac:dyDescent="0.25">
      <c r="A24" s="120" t="s">
        <v>158</v>
      </c>
      <c r="B24" s="118">
        <v>1</v>
      </c>
      <c r="C24" s="144"/>
    </row>
    <row r="25" spans="1:3" s="124" customFormat="1" x14ac:dyDescent="0.25">
      <c r="A25" s="120" t="s">
        <v>97</v>
      </c>
      <c r="B25" s="118" t="s">
        <v>29</v>
      </c>
      <c r="C25" s="144"/>
    </row>
    <row r="26" spans="1:3" s="1" customFormat="1" x14ac:dyDescent="0.25">
      <c r="A26" s="9" t="s">
        <v>53</v>
      </c>
      <c r="B26" s="117"/>
      <c r="C26" s="144"/>
    </row>
    <row r="27" spans="1:3" s="1" customFormat="1" x14ac:dyDescent="0.25">
      <c r="A27" s="123" t="s">
        <v>159</v>
      </c>
      <c r="B27" s="118" t="s">
        <v>28</v>
      </c>
      <c r="C27" s="144"/>
    </row>
    <row r="28" spans="1:3" s="1" customFormat="1" x14ac:dyDescent="0.25">
      <c r="A28" s="10" t="s">
        <v>48</v>
      </c>
      <c r="B28" s="118" t="s">
        <v>29</v>
      </c>
      <c r="C28" s="144"/>
    </row>
    <row r="29" spans="1:3" s="1" customFormat="1" x14ac:dyDescent="0.25">
      <c r="A29" s="10" t="s">
        <v>49</v>
      </c>
      <c r="B29" s="118" t="s">
        <v>31</v>
      </c>
      <c r="C29" s="144"/>
    </row>
    <row r="30" spans="1:3" s="1" customFormat="1" x14ac:dyDescent="0.25">
      <c r="A30" s="10" t="s">
        <v>50</v>
      </c>
      <c r="B30" s="118" t="s">
        <v>32</v>
      </c>
      <c r="C30" s="144"/>
    </row>
    <row r="31" spans="1:3" x14ac:dyDescent="0.25">
      <c r="A31" s="125" t="s">
        <v>154</v>
      </c>
      <c r="B31" s="118" t="s">
        <v>76</v>
      </c>
      <c r="C31" s="144"/>
    </row>
    <row r="32" spans="1:3" x14ac:dyDescent="0.25">
      <c r="A32" s="9" t="s">
        <v>74</v>
      </c>
      <c r="B32" s="116"/>
      <c r="C32" s="144"/>
    </row>
    <row r="33" spans="1:3" x14ac:dyDescent="0.25">
      <c r="A33" s="10" t="s">
        <v>160</v>
      </c>
      <c r="B33" s="116" t="s">
        <v>24</v>
      </c>
      <c r="C33" s="144"/>
    </row>
    <row r="34" spans="1:3" x14ac:dyDescent="0.25">
      <c r="A34" s="121" t="s">
        <v>161</v>
      </c>
      <c r="B34" s="116" t="s">
        <v>28</v>
      </c>
      <c r="C34" s="144"/>
    </row>
    <row r="35" spans="1:3" s="1" customFormat="1" x14ac:dyDescent="0.25">
      <c r="A35" s="9" t="s">
        <v>80</v>
      </c>
      <c r="B35" s="117"/>
      <c r="C35" s="144"/>
    </row>
    <row r="36" spans="1:3" x14ac:dyDescent="0.25">
      <c r="A36" s="126" t="s">
        <v>162</v>
      </c>
      <c r="B36" s="116" t="s">
        <v>28</v>
      </c>
      <c r="C36" s="144"/>
    </row>
    <row r="37" spans="1:3" x14ac:dyDescent="0.25">
      <c r="A37" s="126" t="s">
        <v>98</v>
      </c>
      <c r="B37" s="116" t="s">
        <v>29</v>
      </c>
      <c r="C37" s="144"/>
    </row>
    <row r="38" spans="1:3" x14ac:dyDescent="0.25">
      <c r="A38" s="126" t="s">
        <v>99</v>
      </c>
      <c r="B38" s="116" t="s">
        <v>31</v>
      </c>
      <c r="C38" s="144"/>
    </row>
    <row r="39" spans="1:3" x14ac:dyDescent="0.25">
      <c r="A39" s="9" t="s">
        <v>81</v>
      </c>
      <c r="B39" s="117"/>
      <c r="C39" s="144"/>
    </row>
    <row r="40" spans="1:3" x14ac:dyDescent="0.25">
      <c r="A40" s="126" t="s">
        <v>163</v>
      </c>
      <c r="B40" s="116" t="s">
        <v>28</v>
      </c>
      <c r="C40" s="144"/>
    </row>
    <row r="41" spans="1:3" x14ac:dyDescent="0.25">
      <c r="A41" s="126" t="s">
        <v>100</v>
      </c>
      <c r="B41" s="116" t="s">
        <v>29</v>
      </c>
      <c r="C41" s="144"/>
    </row>
    <row r="42" spans="1:3" x14ac:dyDescent="0.25">
      <c r="A42" s="126" t="s">
        <v>101</v>
      </c>
      <c r="B42" s="116" t="s">
        <v>31</v>
      </c>
      <c r="C42" s="144"/>
    </row>
    <row r="43" spans="1:3" x14ac:dyDescent="0.25">
      <c r="A43" s="9" t="s">
        <v>102</v>
      </c>
      <c r="B43" s="117"/>
      <c r="C43" s="144"/>
    </row>
    <row r="44" spans="1:3" x14ac:dyDescent="0.25">
      <c r="A44" s="11" t="s">
        <v>175</v>
      </c>
      <c r="B44" s="116" t="s">
        <v>24</v>
      </c>
      <c r="C44" s="233"/>
    </row>
    <row r="45" spans="1:3" s="124" customFormat="1" x14ac:dyDescent="0.25">
      <c r="A45" s="122" t="s">
        <v>176</v>
      </c>
      <c r="B45" s="133" t="s">
        <v>28</v>
      </c>
      <c r="C45" s="233"/>
    </row>
    <row r="46" spans="1:3" s="124" customFormat="1" x14ac:dyDescent="0.25">
      <c r="A46" s="122" t="s">
        <v>177</v>
      </c>
      <c r="B46" s="133" t="s">
        <v>29</v>
      </c>
      <c r="C46" s="233"/>
    </row>
    <row r="47" spans="1:3" s="124" customFormat="1" x14ac:dyDescent="0.25">
      <c r="A47" s="122" t="s">
        <v>178</v>
      </c>
      <c r="B47" s="133" t="s">
        <v>31</v>
      </c>
      <c r="C47" s="233"/>
    </row>
    <row r="48" spans="1:3" s="124" customFormat="1" x14ac:dyDescent="0.25">
      <c r="A48" s="125" t="s">
        <v>154</v>
      </c>
      <c r="B48" s="133" t="s">
        <v>76</v>
      </c>
      <c r="C48" s="233"/>
    </row>
    <row r="49" spans="1:3" s="1" customFormat="1" x14ac:dyDescent="0.25">
      <c r="A49" s="9" t="s">
        <v>103</v>
      </c>
      <c r="B49" s="117"/>
      <c r="C49" s="233"/>
    </row>
    <row r="50" spans="1:3" x14ac:dyDescent="0.25">
      <c r="A50" s="11" t="s">
        <v>186</v>
      </c>
      <c r="B50" s="119">
        <v>0</v>
      </c>
      <c r="C50" s="233"/>
    </row>
    <row r="51" spans="1:3" ht="30" x14ac:dyDescent="0.25">
      <c r="A51" s="140" t="s">
        <v>185</v>
      </c>
      <c r="B51" s="119">
        <v>1</v>
      </c>
      <c r="C51" s="233"/>
    </row>
    <row r="52" spans="1:3" s="124" customFormat="1" ht="30" x14ac:dyDescent="0.25">
      <c r="A52" s="140" t="s">
        <v>179</v>
      </c>
      <c r="B52" s="119">
        <v>2</v>
      </c>
      <c r="C52" s="233"/>
    </row>
    <row r="53" spans="1:3" s="124" customFormat="1" ht="30" x14ac:dyDescent="0.25">
      <c r="A53" s="140" t="s">
        <v>180</v>
      </c>
      <c r="B53" s="119">
        <v>3</v>
      </c>
      <c r="C53" s="233"/>
    </row>
    <row r="54" spans="1:3" s="124" customFormat="1" ht="30" x14ac:dyDescent="0.25">
      <c r="A54" s="140" t="s">
        <v>181</v>
      </c>
      <c r="B54" s="119">
        <v>4</v>
      </c>
      <c r="C54" s="233"/>
    </row>
    <row r="55" spans="1:3" s="124" customFormat="1" ht="30" x14ac:dyDescent="0.25">
      <c r="A55" s="140" t="s">
        <v>182</v>
      </c>
      <c r="B55" s="119">
        <v>5</v>
      </c>
      <c r="C55" s="233"/>
    </row>
    <row r="56" spans="1:3" s="124" customFormat="1" ht="30" x14ac:dyDescent="0.25">
      <c r="A56" s="140" t="s">
        <v>183</v>
      </c>
      <c r="B56" s="141">
        <v>6</v>
      </c>
      <c r="C56" s="233"/>
    </row>
    <row r="57" spans="1:3" x14ac:dyDescent="0.25">
      <c r="A57" s="122" t="s">
        <v>184</v>
      </c>
      <c r="B57" s="119" t="s">
        <v>76</v>
      </c>
      <c r="C57" s="233"/>
    </row>
    <row r="58" spans="1:3" x14ac:dyDescent="0.25">
      <c r="A58" s="9" t="s">
        <v>58</v>
      </c>
      <c r="B58" s="119"/>
      <c r="C58" s="144"/>
    </row>
    <row r="59" spans="1:3" x14ac:dyDescent="0.25">
      <c r="A59" s="12" t="s">
        <v>92</v>
      </c>
      <c r="B59" s="119"/>
      <c r="C59" s="144"/>
    </row>
    <row r="60" spans="1:3" s="1" customFormat="1" x14ac:dyDescent="0.25">
      <c r="A60" s="9" t="s">
        <v>38</v>
      </c>
      <c r="B60" s="117"/>
      <c r="C60" s="144"/>
    </row>
    <row r="61" spans="1:3" s="1" customFormat="1" x14ac:dyDescent="0.25">
      <c r="A61" s="122" t="s">
        <v>164</v>
      </c>
      <c r="B61" s="119">
        <v>0</v>
      </c>
      <c r="C61" s="144"/>
    </row>
    <row r="62" spans="1:3" x14ac:dyDescent="0.25">
      <c r="A62" s="122" t="s">
        <v>165</v>
      </c>
      <c r="B62" s="119">
        <v>1</v>
      </c>
      <c r="C62" s="144"/>
    </row>
    <row r="63" spans="1:3" x14ac:dyDescent="0.25">
      <c r="A63" s="122" t="s">
        <v>154</v>
      </c>
      <c r="B63" s="119" t="s">
        <v>76</v>
      </c>
      <c r="C63" s="144"/>
    </row>
    <row r="64" spans="1:3" x14ac:dyDescent="0.25">
      <c r="A64" s="9" t="s">
        <v>39</v>
      </c>
      <c r="B64" s="117"/>
      <c r="C64" s="144"/>
    </row>
    <row r="65" spans="1:3" x14ac:dyDescent="0.25">
      <c r="A65" s="122" t="s">
        <v>166</v>
      </c>
      <c r="B65" s="119">
        <v>1</v>
      </c>
      <c r="C65" s="144"/>
    </row>
    <row r="66" spans="1:3" x14ac:dyDescent="0.25">
      <c r="A66" s="122" t="s">
        <v>167</v>
      </c>
      <c r="B66" s="119">
        <v>2</v>
      </c>
      <c r="C66" s="144"/>
    </row>
    <row r="67" spans="1:3" x14ac:dyDescent="0.25">
      <c r="A67" s="122" t="s">
        <v>168</v>
      </c>
      <c r="B67" s="119">
        <v>3</v>
      </c>
      <c r="C67" s="144"/>
    </row>
    <row r="68" spans="1:3" x14ac:dyDescent="0.25">
      <c r="A68" s="122" t="s">
        <v>154</v>
      </c>
      <c r="B68" s="119" t="s">
        <v>76</v>
      </c>
      <c r="C68" s="144"/>
    </row>
    <row r="69" spans="1:3" x14ac:dyDescent="0.25">
      <c r="A69" s="9" t="s">
        <v>40</v>
      </c>
      <c r="B69" s="117"/>
      <c r="C69" s="144"/>
    </row>
    <row r="70" spans="1:3" x14ac:dyDescent="0.25">
      <c r="A70" s="122" t="s">
        <v>169</v>
      </c>
      <c r="B70" s="119">
        <v>1</v>
      </c>
      <c r="C70" s="144"/>
    </row>
    <row r="71" spans="1:3" x14ac:dyDescent="0.25">
      <c r="A71" s="122" t="s">
        <v>170</v>
      </c>
      <c r="B71" s="119">
        <v>2</v>
      </c>
      <c r="C71" s="144"/>
    </row>
    <row r="72" spans="1:3" x14ac:dyDescent="0.25">
      <c r="A72" s="122" t="s">
        <v>171</v>
      </c>
      <c r="B72" s="119">
        <v>3</v>
      </c>
      <c r="C72" s="144"/>
    </row>
    <row r="73" spans="1:3" x14ac:dyDescent="0.25">
      <c r="A73" s="122" t="s">
        <v>172</v>
      </c>
      <c r="B73" s="119">
        <v>4</v>
      </c>
      <c r="C73" s="144"/>
    </row>
    <row r="74" spans="1:3" x14ac:dyDescent="0.25">
      <c r="A74" s="122" t="s">
        <v>173</v>
      </c>
      <c r="B74" s="119">
        <v>5</v>
      </c>
      <c r="C74" s="144"/>
    </row>
    <row r="75" spans="1:3" x14ac:dyDescent="0.25">
      <c r="A75" s="122" t="s">
        <v>154</v>
      </c>
      <c r="B75" s="119" t="s">
        <v>76</v>
      </c>
      <c r="C75" s="144"/>
    </row>
  </sheetData>
  <sheetProtection algorithmName="SHA-512" hashValue="h874YamBJhsuUU+HbvXBTUhKRVUqfHABmNRj/D8jbL/DPDqiXl9wcMLt9LENM1I1X6E1IPf4FPSrVtbOrgxxaA==" saltValue="S6RwMeLzE+GxNxSKpozRyQ==" spinCount="100000" sheet="1" formatColumns="0" formatRows="0" selectLockedCells="1"/>
  <phoneticPr fontId="13" type="noConversion"/>
  <printOptions headings="1"/>
  <pageMargins left="1.0236220472440944" right="0.23622047244094491" top="0.35433070866141736" bottom="0.35433070866141736" header="0.31496062992125984" footer="0.31496062992125984"/>
  <pageSetup paperSize="9" orientation="portrait" r:id="rId1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23"/>
  <sheetViews>
    <sheetView workbookViewId="0">
      <selection activeCell="D8" sqref="D8"/>
    </sheetView>
  </sheetViews>
  <sheetFormatPr defaultRowHeight="15" x14ac:dyDescent="0.25"/>
  <cols>
    <col min="1" max="1" width="6.140625" style="1" customWidth="1"/>
    <col min="2" max="2" width="6.7109375" style="13" bestFit="1" customWidth="1"/>
    <col min="3" max="3" width="34.85546875" bestFit="1" customWidth="1"/>
    <col min="4" max="4" width="34.7109375" customWidth="1"/>
    <col min="5" max="5" width="8.85546875" customWidth="1"/>
    <col min="6" max="6" width="4.28515625" customWidth="1"/>
    <col min="7" max="7" width="38.42578125" bestFit="1" customWidth="1"/>
    <col min="8" max="8" width="93" customWidth="1"/>
  </cols>
  <sheetData>
    <row r="1" spans="1:8" ht="21" x14ac:dyDescent="0.35">
      <c r="A1" s="23" t="s">
        <v>18</v>
      </c>
      <c r="B1" s="24"/>
      <c r="C1" s="25"/>
      <c r="D1" s="33"/>
      <c r="E1" s="41" t="s">
        <v>44</v>
      </c>
      <c r="F1" s="37">
        <f>COUNTBLANK(KodyOC)</f>
        <v>14</v>
      </c>
      <c r="G1" s="43" t="s">
        <v>47</v>
      </c>
      <c r="H1" s="74" t="str">
        <f>(IF(G5&lt;&gt;"",A5&amp;" - "&amp;G5&amp;", ","")&amp;""&amp;IF(G6&lt;&gt;"",A6&amp;" - "&amp;G6&amp;", ","")&amp;""&amp;IF(G7&lt;&gt;"",A7&amp;" - "&amp;G7&amp;", ","")&amp;""&amp;IF(G8&lt;&gt;"",A8&amp;" - "&amp;G8&amp;", ","")&amp;""&amp;IF(G9&lt;&gt;"",A9&amp;" - "&amp;G9&amp;", ","")&amp;""&amp;IF(G10&lt;&gt;"",A10&amp;" - "&amp;G10&amp;", ","")&amp;""&amp;IF(G11&lt;&gt;"",A11&amp;" - "&amp;G11&amp;", ","")&amp;""&amp;IF(G12&lt;&gt;"",A12&amp;" - "&amp;G12&amp;", ","")&amp;""&amp;IF(G13&lt;&gt;"",A13&amp;" - "&amp;G13&amp;", ","")&amp;""&amp;IF(G14&lt;&gt;"",A14&amp;" - "&amp;G14&amp;", ","")&amp;""&amp;IF(G15&lt;&gt;"",A15&amp;" - "&amp;G15&amp;", ","")&amp;""&amp;IF(G16&lt;&gt;"",A16&amp;" - "&amp;G16&amp;", ","")&amp;""&amp;IF(G17&lt;&gt;"",A17&amp;" - "&amp;G17&amp;", ","")&amp;""&amp;IF(G18&lt;&gt;"",A18&amp;" - "&amp;G18&amp;", ","")&amp;""&amp;IF(G19&lt;&gt;"",A19&amp;" - "&amp;G19&amp;", ","")&amp;""&amp;IF(G20&lt;&gt;"",A20&amp;" - "&amp;G20,""))</f>
        <v/>
      </c>
    </row>
    <row r="2" spans="1:8" s="1" customFormat="1" ht="14.25" customHeight="1" thickBot="1" x14ac:dyDescent="0.4">
      <c r="A2" s="23"/>
      <c r="B2" s="24"/>
      <c r="D2" s="33"/>
      <c r="E2" s="42" t="s">
        <v>46</v>
      </c>
      <c r="F2" s="37">
        <f>COUNTBLANK(KodyOC_HW)</f>
        <v>3</v>
      </c>
      <c r="G2" s="46"/>
      <c r="H2" s="26"/>
    </row>
    <row r="3" spans="1:8" s="1" customFormat="1" ht="14.25" customHeight="1" thickBot="1" x14ac:dyDescent="0.3">
      <c r="A3" s="53" t="s">
        <v>59</v>
      </c>
      <c r="B3" s="54" t="s">
        <v>60</v>
      </c>
      <c r="C3" s="55" t="s">
        <v>61</v>
      </c>
      <c r="D3" s="56" t="s">
        <v>62</v>
      </c>
      <c r="E3" s="57"/>
      <c r="F3" s="37"/>
      <c r="G3" s="46"/>
      <c r="H3" s="26"/>
    </row>
    <row r="4" spans="1:8" ht="15.75" x14ac:dyDescent="0.25">
      <c r="A4" s="27">
        <v>0</v>
      </c>
      <c r="B4" s="129" t="s">
        <v>94</v>
      </c>
      <c r="C4" s="28"/>
      <c r="D4" s="28"/>
      <c r="E4" s="25"/>
      <c r="F4" s="25"/>
      <c r="G4" s="213" t="s">
        <v>45</v>
      </c>
      <c r="H4" s="26"/>
    </row>
    <row r="5" spans="1:8" x14ac:dyDescent="0.25">
      <c r="A5" s="29" t="str">
        <f>Specifikace!B4</f>
        <v xml:space="preserve"> - </v>
      </c>
      <c r="B5" s="30" t="str">
        <f>Specifikace!E4</f>
        <v>-</v>
      </c>
      <c r="C5" s="31" t="str">
        <f>Specifikace!C4</f>
        <v>TECHNICAL PARAMETERS</v>
      </c>
      <c r="D5" s="32" t="str">
        <f>Specifikace!D4</f>
        <v xml:space="preserve"> - </v>
      </c>
      <c r="E5" s="28"/>
      <c r="F5" s="25"/>
      <c r="G5" s="214" t="str">
        <f t="shared" ref="G5:G22" si="0">IF(MID(B5,1,1)="X",C5,"")</f>
        <v/>
      </c>
      <c r="H5" s="58"/>
    </row>
    <row r="6" spans="1:8" x14ac:dyDescent="0.25">
      <c r="A6" s="29">
        <f>Specifikace!B5</f>
        <v>5</v>
      </c>
      <c r="B6" s="30" t="str">
        <f>Specifikace!E5</f>
        <v/>
      </c>
      <c r="C6" s="31" t="str">
        <f>Specifikace!C5</f>
        <v>Sensor dimension ~ max. flow Q₄ (qs)</v>
      </c>
      <c r="D6" s="32">
        <f>Specifikace!D5</f>
        <v>0</v>
      </c>
      <c r="E6" s="28"/>
      <c r="F6" s="25"/>
      <c r="G6" s="215" t="str">
        <f t="shared" si="0"/>
        <v/>
      </c>
      <c r="H6" s="58"/>
    </row>
    <row r="7" spans="1:8" x14ac:dyDescent="0.25">
      <c r="A7" s="29">
        <f>Specifikace!B6</f>
        <v>6</v>
      </c>
      <c r="B7" s="30" t="str">
        <f>Specifikace!E6</f>
        <v/>
      </c>
      <c r="C7" s="31" t="str">
        <f>Specifikace!C6</f>
        <v>Sensor flanges</v>
      </c>
      <c r="D7" s="32">
        <f>Specifikace!D6</f>
        <v>0</v>
      </c>
      <c r="E7" s="28"/>
      <c r="F7" s="25"/>
      <c r="G7" s="216" t="str">
        <f t="shared" si="0"/>
        <v/>
      </c>
      <c r="H7" s="58"/>
    </row>
    <row r="8" spans="1:8" x14ac:dyDescent="0.25">
      <c r="A8" s="29">
        <f>Specifikace!B7</f>
        <v>7</v>
      </c>
      <c r="B8" s="30" t="str">
        <f>Specifikace!E7</f>
        <v/>
      </c>
      <c r="C8" s="31" t="str">
        <f>Specifikace!C7</f>
        <v>Protection of Sensor with probes</v>
      </c>
      <c r="D8" s="32">
        <f>Specifikace!D7</f>
        <v>0</v>
      </c>
      <c r="E8" s="28"/>
      <c r="F8" s="25"/>
      <c r="G8" s="216" t="str">
        <f t="shared" si="0"/>
        <v/>
      </c>
      <c r="H8" s="58"/>
    </row>
    <row r="9" spans="1:8" x14ac:dyDescent="0.25">
      <c r="A9" s="29">
        <f>Specifikace!B8</f>
        <v>8</v>
      </c>
      <c r="B9" s="30" t="str">
        <f>Specifikace!E8</f>
        <v/>
      </c>
      <c r="C9" s="31" t="str">
        <f>Specifikace!C8</f>
        <v>Length of cabel</v>
      </c>
      <c r="D9" s="32">
        <f>Specifikace!D8</f>
        <v>0</v>
      </c>
      <c r="E9" s="28"/>
      <c r="F9" s="25"/>
      <c r="G9" s="216" t="str">
        <f t="shared" si="0"/>
        <v/>
      </c>
      <c r="H9" s="58"/>
    </row>
    <row r="10" spans="1:8" x14ac:dyDescent="0.25">
      <c r="A10" s="29" t="str">
        <f>Specifikace!B9</f>
        <v xml:space="preserve"> - </v>
      </c>
      <c r="B10" s="30" t="str">
        <f>Specifikace!E9</f>
        <v>-</v>
      </c>
      <c r="C10" s="31" t="str">
        <f>Specifikace!C9</f>
        <v>FLOW METER SETTINGS</v>
      </c>
      <c r="D10" s="32" t="str">
        <f>Specifikace!D9</f>
        <v xml:space="preserve"> - </v>
      </c>
      <c r="E10" s="28"/>
      <c r="F10" s="25"/>
      <c r="G10" s="216" t="str">
        <f t="shared" si="0"/>
        <v/>
      </c>
      <c r="H10" s="58"/>
    </row>
    <row r="11" spans="1:8" x14ac:dyDescent="0.25">
      <c r="A11" s="29">
        <f>Specifikace!B10</f>
        <v>10</v>
      </c>
      <c r="B11" s="30" t="str">
        <f>Specifikace!E10</f>
        <v/>
      </c>
      <c r="C11" s="31" t="str">
        <f>Specifikace!C10</f>
        <v>Current output</v>
      </c>
      <c r="D11" s="32">
        <f>Specifikace!D10</f>
        <v>0</v>
      </c>
      <c r="E11" s="28"/>
      <c r="F11" s="25"/>
      <c r="G11" s="216" t="str">
        <f t="shared" si="0"/>
        <v/>
      </c>
      <c r="H11" s="58"/>
    </row>
    <row r="12" spans="1:8" x14ac:dyDescent="0.25">
      <c r="A12" s="29">
        <f>Specifikace!B11</f>
        <v>11</v>
      </c>
      <c r="B12" s="30" t="str">
        <f>Specifikace!E11</f>
        <v/>
      </c>
      <c r="C12" s="31" t="str">
        <f>Specifikace!C11</f>
        <v>Volume unit</v>
      </c>
      <c r="D12" s="32">
        <f>Specifikace!D11</f>
        <v>0</v>
      </c>
      <c r="E12" s="28"/>
      <c r="F12" s="25"/>
      <c r="G12" s="216" t="str">
        <f t="shared" si="0"/>
        <v/>
      </c>
      <c r="H12" s="58"/>
    </row>
    <row r="13" spans="1:8" x14ac:dyDescent="0.25">
      <c r="A13" s="29">
        <f>Specifikace!B12</f>
        <v>12</v>
      </c>
      <c r="B13" s="30" t="str">
        <f>Specifikace!E12</f>
        <v/>
      </c>
      <c r="C13" s="31" t="str">
        <f>Specifikace!C12</f>
        <v>Volume flow unit</v>
      </c>
      <c r="D13" s="32">
        <f>Specifikace!D12</f>
        <v>0</v>
      </c>
      <c r="E13" s="28"/>
      <c r="F13" s="25"/>
      <c r="G13" s="216" t="str">
        <f t="shared" si="0"/>
        <v/>
      </c>
      <c r="H13" s="58"/>
    </row>
    <row r="14" spans="1:8" x14ac:dyDescent="0.25">
      <c r="A14" s="29">
        <f>Specifikace!B13</f>
        <v>13</v>
      </c>
      <c r="B14" s="30" t="str">
        <f>Specifikace!E13</f>
        <v/>
      </c>
      <c r="C14" s="31" t="str">
        <f>Specifikace!C13</f>
        <v>Data communication</v>
      </c>
      <c r="D14" s="32">
        <f>Specifikace!D13</f>
        <v>0</v>
      </c>
      <c r="E14" s="28"/>
      <c r="F14" s="25"/>
      <c r="G14" s="216" t="str">
        <f t="shared" si="0"/>
        <v/>
      </c>
      <c r="H14" s="58"/>
    </row>
    <row r="15" spans="1:8" x14ac:dyDescent="0.25">
      <c r="A15" s="29">
        <f>Specifikace!B14</f>
        <v>14</v>
      </c>
      <c r="B15" s="30" t="str">
        <f>Specifikace!E14</f>
        <v/>
      </c>
      <c r="C15" s="31" t="str">
        <f>Specifikace!C14</f>
        <v>Calibration</v>
      </c>
      <c r="D15" s="32">
        <f>Specifikace!D14</f>
        <v>0</v>
      </c>
      <c r="E15" s="28"/>
      <c r="F15" s="25"/>
      <c r="G15" s="216" t="str">
        <f t="shared" si="0"/>
        <v/>
      </c>
      <c r="H15" s="58"/>
    </row>
    <row r="16" spans="1:8" x14ac:dyDescent="0.25">
      <c r="A16" s="29" t="str">
        <f>Specifikace!B15</f>
        <v xml:space="preserve"> - </v>
      </c>
      <c r="B16" s="30" t="str">
        <f>Specifikace!E15</f>
        <v>-</v>
      </c>
      <c r="C16" s="31" t="str">
        <f>Specifikace!C15</f>
        <v>OTHER BUSINESS REQUIREMENTS</v>
      </c>
      <c r="D16" s="32" t="str">
        <f>Specifikace!D15</f>
        <v xml:space="preserve"> - </v>
      </c>
      <c r="E16" s="28"/>
      <c r="F16" s="25"/>
      <c r="G16" s="216" t="str">
        <f t="shared" si="0"/>
        <v/>
      </c>
      <c r="H16" s="25"/>
    </row>
    <row r="17" spans="1:8" x14ac:dyDescent="0.25">
      <c r="A17" s="29">
        <f>Specifikace!B16</f>
        <v>16</v>
      </c>
      <c r="B17" s="137" t="str">
        <f>TEXT(Specifikace!E16,"000")</f>
        <v/>
      </c>
      <c r="C17" s="31" t="str">
        <f>Specifikace!C16</f>
        <v>Quantity</v>
      </c>
      <c r="D17" s="32">
        <f>Specifikace!D16</f>
        <v>0</v>
      </c>
      <c r="E17" s="28"/>
      <c r="F17" s="25"/>
      <c r="G17" s="216" t="str">
        <f t="shared" si="0"/>
        <v/>
      </c>
      <c r="H17" s="25"/>
    </row>
    <row r="18" spans="1:8" x14ac:dyDescent="0.25">
      <c r="A18" s="29">
        <f>Specifikace!B17</f>
        <v>17</v>
      </c>
      <c r="B18" s="30" t="str">
        <f>Specifikace!E17</f>
        <v/>
      </c>
      <c r="C18" s="31" t="str">
        <f>Specifikace!C17</f>
        <v>Packing</v>
      </c>
      <c r="D18" s="32">
        <f>Specifikace!D17</f>
        <v>0</v>
      </c>
      <c r="E18" s="28"/>
      <c r="F18" s="25"/>
      <c r="G18" s="216" t="str">
        <f t="shared" si="0"/>
        <v/>
      </c>
      <c r="H18" s="25"/>
    </row>
    <row r="19" spans="1:8" x14ac:dyDescent="0.25">
      <c r="A19" s="29">
        <f>Specifikace!B18</f>
        <v>18</v>
      </c>
      <c r="B19" s="30" t="str">
        <f>Specifikace!E18</f>
        <v/>
      </c>
      <c r="C19" s="31" t="str">
        <f>Specifikace!C18</f>
        <v>Method of transmission</v>
      </c>
      <c r="D19" s="32">
        <f>Specifikace!D18</f>
        <v>0</v>
      </c>
      <c r="E19" s="28"/>
      <c r="F19" s="25"/>
      <c r="G19" s="216" t="str">
        <f t="shared" si="0"/>
        <v/>
      </c>
      <c r="H19" s="25"/>
    </row>
    <row r="20" spans="1:8" x14ac:dyDescent="0.25">
      <c r="A20" s="29">
        <f>Specifikace!B19</f>
        <v>19</v>
      </c>
      <c r="B20" s="30" t="str">
        <f>Specifikace!E19</f>
        <v/>
      </c>
      <c r="C20" s="31" t="str">
        <f>Specifikace!C19</f>
        <v>Warranty</v>
      </c>
      <c r="D20" s="32">
        <f>Specifikace!D19</f>
        <v>0</v>
      </c>
      <c r="E20" s="28"/>
      <c r="F20" s="25"/>
      <c r="G20" s="217" t="str">
        <f t="shared" si="0"/>
        <v/>
      </c>
      <c r="H20" s="25"/>
    </row>
    <row r="21" spans="1:8" x14ac:dyDescent="0.25">
      <c r="A21" s="29" t="str">
        <f>Specifikace!B20</f>
        <v xml:space="preserve"> - </v>
      </c>
      <c r="B21" s="30" t="str">
        <f>Specifikace!E20</f>
        <v>-</v>
      </c>
      <c r="C21" s="31" t="str">
        <f>Specifikace!C20</f>
        <v>RELATED REGULATIONS</v>
      </c>
      <c r="D21" s="32" t="str">
        <f>Specifikace!D20</f>
        <v xml:space="preserve"> - </v>
      </c>
      <c r="E21" s="28"/>
      <c r="F21" s="25"/>
      <c r="G21" s="214" t="str">
        <f t="shared" si="0"/>
        <v/>
      </c>
      <c r="H21" s="25"/>
    </row>
    <row r="22" spans="1:8" x14ac:dyDescent="0.25">
      <c r="A22" s="29">
        <f>Specifikace!B21</f>
        <v>21</v>
      </c>
      <c r="B22" s="30" t="str">
        <f>Specifikace!E21</f>
        <v/>
      </c>
      <c r="C22" s="31" t="str">
        <f>Specifikace!C21</f>
        <v>Flowmeter manual number</v>
      </c>
      <c r="D22" s="32" t="str">
        <f>Specifikace!D21</f>
        <v/>
      </c>
      <c r="E22" s="28"/>
      <c r="F22" s="25"/>
      <c r="G22" s="214" t="str">
        <f t="shared" si="0"/>
        <v/>
      </c>
      <c r="H22" s="25"/>
    </row>
    <row r="23" spans="1:8" x14ac:dyDescent="0.25">
      <c r="G23" s="73"/>
    </row>
  </sheetData>
  <sheetProtection algorithmName="SHA-512" hashValue="TiexameZlUvINnGKyVC/ci/AY0iewmMPOXHNRGO+nSGJxqT5rhHzfnS95StDm2K1BI2SBpNh6Zy9eJeYoCLyXQ==" saltValue="eJ2SK3H68avhKOYhp6WWWA==" spinCount="100000" sheet="1" objects="1" scenarios="1"/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63"/>
  <sheetViews>
    <sheetView showGridLines="0" zoomScaleNormal="100" workbookViewId="0">
      <pane ySplit="4" topLeftCell="A5" activePane="bottomLeft" state="frozen"/>
      <selection pane="bottomLeft" activeCell="C4" sqref="C4"/>
    </sheetView>
  </sheetViews>
  <sheetFormatPr defaultColWidth="9.140625" defaultRowHeight="15" x14ac:dyDescent="0.25"/>
  <cols>
    <col min="1" max="1" width="0.7109375" style="68" customWidth="1"/>
    <col min="2" max="2" width="4.42578125" style="68" customWidth="1"/>
    <col min="3" max="3" width="39.42578125" style="68" customWidth="1"/>
    <col min="4" max="4" width="51.28515625" style="68" customWidth="1"/>
    <col min="5" max="5" width="6.7109375" style="4" bestFit="1" customWidth="1"/>
    <col min="6" max="6" width="1.140625" style="68" customWidth="1"/>
    <col min="7" max="7" width="2.140625" style="68" customWidth="1"/>
    <col min="8" max="8" width="48.5703125" style="68" customWidth="1"/>
    <col min="9" max="16384" width="9.140625" style="68"/>
  </cols>
  <sheetData>
    <row r="1" spans="1:7" ht="27" customHeight="1" x14ac:dyDescent="0.25">
      <c r="A1" s="22"/>
      <c r="B1" s="79" t="s">
        <v>66</v>
      </c>
      <c r="C1" s="80"/>
      <c r="D1" s="80"/>
      <c r="E1" s="81"/>
      <c r="F1" s="82"/>
    </row>
    <row r="2" spans="1:7" ht="4.5" customHeight="1" thickBot="1" x14ac:dyDescent="0.3">
      <c r="A2" s="22"/>
      <c r="B2" s="108"/>
      <c r="C2" s="109"/>
      <c r="D2" s="109"/>
      <c r="E2" s="84"/>
      <c r="F2" s="85"/>
    </row>
    <row r="3" spans="1:7" ht="18" customHeight="1" x14ac:dyDescent="0.25">
      <c r="A3" s="22"/>
      <c r="B3" s="83"/>
      <c r="C3" s="112" t="s">
        <v>90</v>
      </c>
      <c r="D3" s="113"/>
      <c r="E3" s="84"/>
      <c r="F3" s="85"/>
    </row>
    <row r="4" spans="1:7" ht="23.25" customHeight="1" thickBot="1" x14ac:dyDescent="0.3">
      <c r="A4" s="22"/>
      <c r="B4" s="83"/>
      <c r="C4" s="110"/>
      <c r="D4" s="111"/>
      <c r="E4" s="105"/>
      <c r="F4" s="85"/>
    </row>
    <row r="5" spans="1:7" ht="8.25" customHeight="1" thickBot="1" x14ac:dyDescent="0.3">
      <c r="A5" s="22"/>
      <c r="B5" s="83"/>
      <c r="C5" s="106"/>
      <c r="D5" s="107"/>
      <c r="E5" s="105"/>
      <c r="F5" s="38"/>
    </row>
    <row r="6" spans="1:7" ht="18.75" customHeight="1" thickBot="1" x14ac:dyDescent="0.3">
      <c r="A6" s="22"/>
      <c r="B6" s="7" t="s">
        <v>22</v>
      </c>
      <c r="C6" s="8" t="s">
        <v>3</v>
      </c>
      <c r="D6" s="86"/>
      <c r="E6" s="87" t="s">
        <v>17</v>
      </c>
      <c r="F6" s="88"/>
      <c r="G6" s="3"/>
    </row>
    <row r="7" spans="1:7" ht="20.100000000000001" customHeight="1" thickBot="1" x14ac:dyDescent="0.3">
      <c r="A7" s="22"/>
      <c r="B7" s="6">
        <v>5</v>
      </c>
      <c r="C7" s="5" t="s">
        <v>1</v>
      </c>
      <c r="D7" s="89" t="str">
        <f>IF(E7="1",Data!#REF!,IF(E7="2",Data!#REF!,IF(E7="4",Data!#REF!,IF(E7="6",Data!#REF!,""))))</f>
        <v/>
      </c>
      <c r="E7" s="50" t="str">
        <f>MID($C$4,5,1)</f>
        <v/>
      </c>
      <c r="F7" s="88"/>
      <c r="G7" s="3"/>
    </row>
    <row r="8" spans="1:7" ht="20.100000000000001" customHeight="1" thickBot="1" x14ac:dyDescent="0.3">
      <c r="A8" s="22"/>
      <c r="B8" s="6">
        <v>6</v>
      </c>
      <c r="C8" s="5" t="s">
        <v>20</v>
      </c>
      <c r="D8" s="90" t="str">
        <f>IF(E8="1",Data!#REF!,IF(E8="3",Data!#REF!,IF(E8="5",Data!#REF!,"")))</f>
        <v/>
      </c>
      <c r="E8" s="36" t="str">
        <f>MID($C$4,6,1)</f>
        <v/>
      </c>
      <c r="F8" s="88"/>
      <c r="G8" s="3"/>
    </row>
    <row r="9" spans="1:7" ht="16.5" thickBot="1" x14ac:dyDescent="0.3">
      <c r="A9" s="22"/>
      <c r="B9" s="14" t="s">
        <v>41</v>
      </c>
      <c r="C9" s="8" t="s">
        <v>2</v>
      </c>
      <c r="D9" s="91" t="s">
        <v>41</v>
      </c>
      <c r="E9" s="40" t="s">
        <v>0</v>
      </c>
      <c r="F9" s="88"/>
      <c r="G9" s="3"/>
    </row>
    <row r="10" spans="1:7" ht="18.75" customHeight="1" thickBot="1" x14ac:dyDescent="0.3">
      <c r="A10" s="22"/>
      <c r="B10" s="6">
        <v>8</v>
      </c>
      <c r="C10" s="130" t="s">
        <v>88</v>
      </c>
      <c r="D10" s="89" t="str">
        <f>IF(E$10="01",Data!#REF!,IF(E$10="02",Data!#REF!,IF(E$10="03",Data!#REF!,IF(E$10="04",Data!#REF!,IF(E$10="05",Data!#REF!,IF(E$10="06",Data!#REF!,IF(E$10="07",Data!#REF!,IF(E$10="08",Data!#REF!,IF(E$10="09",Data!A2,IF(E$10="10",Data!A3,IF(E$10="11",Data!A4,IF(E$10="12",Data!A5,IF(E$10="13",Data!A6,IF(E$10="14",Data!A7,IF(E$10="15",Data!A8,IF(E$10="16",Data!A9,IF(E$10="17",Data!A10,IF(E$10="18",Data!A11,IF(E$10="19",Data!A13,IF(E$10="20",Data!A14,IF(E$10="xx",Data!A15,"")))))))))))))))))))))</f>
        <v/>
      </c>
      <c r="E10" s="36" t="str">
        <f>IF(MID($C$4,7,2)=".1",MID($C$4,10,2),MID($C$4,8,2))</f>
        <v/>
      </c>
      <c r="F10" s="88"/>
      <c r="G10" s="3"/>
    </row>
    <row r="11" spans="1:7" ht="20.100000000000001" customHeight="1" thickBot="1" x14ac:dyDescent="0.3">
      <c r="A11" s="22"/>
      <c r="B11" s="6">
        <v>9</v>
      </c>
      <c r="C11" s="130" t="s">
        <v>19</v>
      </c>
      <c r="D11" s="132" t="str">
        <f>IF(E11="1",Data!A17,IF(E11="2",Data!A18,IF(E11="3",Data!A19,IF(E11="4",Data!A21,IF(E11="X",Data!A22,"")))))</f>
        <v/>
      </c>
      <c r="E11" s="131" t="str">
        <f>IF(MID($C$4,7,2)=".1",MID($C$4,12,1),MID($C$4,10,1))</f>
        <v/>
      </c>
      <c r="F11" s="88"/>
      <c r="G11" s="3"/>
    </row>
    <row r="12" spans="1:7" ht="15.75" thickBot="1" x14ac:dyDescent="0.3">
      <c r="A12" s="22"/>
      <c r="B12" s="6">
        <v>10</v>
      </c>
      <c r="C12" s="130" t="s">
        <v>21</v>
      </c>
      <c r="D12" s="132" t="str">
        <f>IF(E12="1",Data!#REF!,IF(E12="2",Data!#REF!,IF(E12="3",Data!#REF!,IF(E12="4",Data!#REF!,IF(E12="x",Data!#REF!,"")))))</f>
        <v/>
      </c>
      <c r="E12" s="131" t="str">
        <f>IF(MID($C$4,7,2)=".1",MID($C$4,13,1),MID($C$4,11,1))</f>
        <v/>
      </c>
      <c r="F12" s="88"/>
      <c r="G12" s="3"/>
    </row>
    <row r="13" spans="1:7" ht="20.100000000000001" customHeight="1" thickBot="1" x14ac:dyDescent="0.3">
      <c r="A13" s="22"/>
      <c r="B13" s="6">
        <v>11</v>
      </c>
      <c r="C13" s="130" t="s">
        <v>68</v>
      </c>
      <c r="D13" s="132" t="str">
        <f>IF(E13="1",Data!A24,IF(E13="2",Data!#REF!,""))</f>
        <v/>
      </c>
      <c r="E13" s="131" t="str">
        <f>IF(MID($C$4,7,2)=".1",MID($C$4,14,1),MID($C$4,12,1))</f>
        <v/>
      </c>
      <c r="F13" s="88"/>
      <c r="G13" s="3"/>
    </row>
    <row r="14" spans="1:7" ht="20.100000000000001" customHeight="1" thickBot="1" x14ac:dyDescent="0.3">
      <c r="A14" s="22"/>
      <c r="B14" s="6">
        <v>12</v>
      </c>
      <c r="C14" s="130" t="s">
        <v>23</v>
      </c>
      <c r="D14" s="132" t="str">
        <f>IF(E14="1",Data!#REF!,IF(E14="2",Data!#REF!,IF(E14="3",Data!#REF!,IF(E14="4",Data!#REF!,IF(E14="5",Data!#REF!,IF(E14="x",Data!#REF!,""))))))</f>
        <v/>
      </c>
      <c r="E14" s="131" t="str">
        <f>IF(MID($C$4,7,2)=".1",MID($C$4,15,1),MID($C$4,13,1))</f>
        <v/>
      </c>
      <c r="F14" s="88"/>
      <c r="G14" s="3"/>
    </row>
    <row r="15" spans="1:7" ht="18.75" customHeight="1" thickBot="1" x14ac:dyDescent="0.3">
      <c r="A15" s="22"/>
      <c r="B15" s="6">
        <v>13</v>
      </c>
      <c r="C15" s="130" t="s">
        <v>69</v>
      </c>
      <c r="D15" s="132" t="str">
        <f>IF(E15="0",Data!#REF!,IF(E15="x",Data!#REF!,""))</f>
        <v/>
      </c>
      <c r="E15" s="131" t="str">
        <f>IF(MID($C$4,7,2)=".1",MID($C$4,16,1),MID($C$4,14,1))</f>
        <v/>
      </c>
      <c r="F15" s="88"/>
      <c r="G15" s="3"/>
    </row>
    <row r="16" spans="1:7" ht="20.100000000000001" customHeight="1" thickBot="1" x14ac:dyDescent="0.3">
      <c r="A16" s="22"/>
      <c r="B16" s="6">
        <v>14</v>
      </c>
      <c r="C16" s="130" t="s">
        <v>89</v>
      </c>
      <c r="D16" s="132" t="str">
        <f>IF(E16="1",Data!#REF!,IF(E16="2",Data!#REF!,IF(E16="3",Data!#REF!,IF(E16="4",Data!#REF!,IF(E16="5",Data!#REF!,IF(E16="6",Data!#REF!,IF(E16="x",Data!#REF!,"")))))))</f>
        <v/>
      </c>
      <c r="E16" s="131" t="str">
        <f>IF(MID($C$4,7,2)=".1",MID($C$4,17,1),MID($C$4,15,1))</f>
        <v/>
      </c>
      <c r="F16" s="88"/>
      <c r="G16" s="3"/>
    </row>
    <row r="17" spans="1:7" ht="23.25" customHeight="1" thickBot="1" x14ac:dyDescent="0.3">
      <c r="A17" s="22"/>
      <c r="B17" s="6">
        <v>15</v>
      </c>
      <c r="C17" s="130" t="s">
        <v>25</v>
      </c>
      <c r="D17" s="132" t="str">
        <f>IF(E17="1",Data!#REF!,IF(E17="2",Data!#REF!,""))</f>
        <v/>
      </c>
      <c r="E17" s="131" t="str">
        <f>IF(MID($C$4,7,2)=".1",MID($C$4,18,1),MID($C$4,16,1))</f>
        <v/>
      </c>
      <c r="F17" s="88"/>
      <c r="G17" s="3"/>
    </row>
    <row r="18" spans="1:7" ht="20.100000000000001" customHeight="1" thickBot="1" x14ac:dyDescent="0.3">
      <c r="A18" s="22"/>
      <c r="B18" s="6">
        <v>16</v>
      </c>
      <c r="C18" s="130" t="s">
        <v>70</v>
      </c>
      <c r="D18" s="132" t="str">
        <f>IF(E18="1",Data!#REF!,IF(E18="2",Data!#REF!,""))</f>
        <v/>
      </c>
      <c r="E18" s="131" t="str">
        <f>IF(MID($C$4,7,2)=".1",MID($C$4,19,1),MID($C$4,17,1))</f>
        <v/>
      </c>
      <c r="F18" s="88"/>
      <c r="G18" s="3"/>
    </row>
    <row r="19" spans="1:7" ht="20.100000000000001" customHeight="1" thickBot="1" x14ac:dyDescent="0.3">
      <c r="A19" s="22"/>
      <c r="B19" s="6">
        <v>17</v>
      </c>
      <c r="C19" s="130" t="s">
        <v>51</v>
      </c>
      <c r="D19" s="132" t="str">
        <f>IF(E19="0",Data!#REF!,IF(E19="1",Data!#REF!,IF(E19="2",Data!#REF!,IF(E19="3",Data!#REF!,IF(E19="4",Data!#REF!,IF(E19="x",Data!#REF!,""))))))</f>
        <v/>
      </c>
      <c r="E19" s="131" t="str">
        <f>IF(MID($C$4,7,2)=".1",MID($C$4,20,1),MID($C$4,18,1))</f>
        <v/>
      </c>
      <c r="F19" s="88"/>
      <c r="G19" s="3"/>
    </row>
    <row r="20" spans="1:7" ht="20.100000000000001" customHeight="1" thickBot="1" x14ac:dyDescent="0.3">
      <c r="A20" s="22"/>
      <c r="B20" s="6">
        <v>18</v>
      </c>
      <c r="C20" s="134" t="s">
        <v>52</v>
      </c>
      <c r="D20" s="132" t="str">
        <f>IF(E20="0",Data!#REF!,IF(E20="1",Data!#REF!,IF(E20="2",Data!#REF!,IF(E20="3",Data!#REF!,IF(E20="4",Data!#REF!,"")))))</f>
        <v/>
      </c>
      <c r="E20" s="131" t="str">
        <f>IF(MID($C$4,7,2)=".1",MID($C$4,21,1),MID($C$4,19,1))</f>
        <v/>
      </c>
      <c r="F20" s="88"/>
      <c r="G20" s="3"/>
    </row>
    <row r="21" spans="1:7" ht="15.75" thickBot="1" x14ac:dyDescent="0.3">
      <c r="A21" s="22"/>
      <c r="B21" s="6">
        <v>19</v>
      </c>
      <c r="C21" s="135" t="s">
        <v>71</v>
      </c>
      <c r="D21" s="132" t="str">
        <f>IF(E21="01",Data!#REF!,IF(E21="02",Data!#REF!,IF(E21="03",Data!#REF!,IF(E21="04",Data!#REF!,IF(E21="05",Data!#REF!,IF(E21="06",Data!#REF!,IF(E21="07",Data!#REF!,IF(E21="08",Data!#REF!,IF(E21="09",Data!#REF!,IF(E21="10",Data!#REF!,IF(E21="11",Data!#REF!,IF(E21="12",Data!#REF!,IF(E21="13",Data!#REF!,IF(E21="14",Data!#REF!,IF(E21="xx",Data!#REF!,"")))))))))))))))</f>
        <v/>
      </c>
      <c r="E21" s="131" t="str">
        <f>IF(MID($C$4,7,2)=".1",MID($C$4,22,2),MID($C$4,20,2))</f>
        <v/>
      </c>
      <c r="F21" s="88"/>
      <c r="G21" s="3"/>
    </row>
    <row r="22" spans="1:7" ht="15.75" thickBot="1" x14ac:dyDescent="0.3">
      <c r="A22" s="22"/>
      <c r="B22" s="6">
        <v>20</v>
      </c>
      <c r="C22" s="130" t="s">
        <v>72</v>
      </c>
      <c r="D22" s="132" t="str">
        <f>IF(E22="0",Data!#REF!,IF(E22="x",Data!#REF!,""))</f>
        <v/>
      </c>
      <c r="E22" s="131" t="str">
        <f>IF(MID($C$4,7,2)=".1",MID($C$4,24,1),MID($C$4,22,1))</f>
        <v/>
      </c>
      <c r="F22" s="88"/>
      <c r="G22" s="3"/>
    </row>
    <row r="23" spans="1:7" ht="20.100000000000001" customHeight="1" thickBot="1" x14ac:dyDescent="0.3">
      <c r="A23" s="22"/>
      <c r="B23" s="6">
        <v>21</v>
      </c>
      <c r="C23" s="130" t="s">
        <v>53</v>
      </c>
      <c r="D23" s="132" t="str">
        <f>IF(E23="01",Data!A27,IF(E23="02",Data!A28,IF(E23="03",Data!A29,IF(E23="04",Data!A30,IF(E23="05",Data!#REF!,IF(E23="06",Data!#REF!,IF(E23="07",Data!#REF!,IF(E23="08",Data!#REF!,IF(E23="09",Data!#REF!,IF(E23="10",Data!#REF!,IF(E23="11",Data!#REF!,IF(E23="12",Data!#REF!,IF(E23="xx",Data!A31,"")))))))))))))</f>
        <v/>
      </c>
      <c r="E23" s="131" t="str">
        <f>IF(MID($C$4,7,2)=".1",MID($C$4,25,2),MID($C$4,23,2))</f>
        <v/>
      </c>
      <c r="F23" s="92"/>
      <c r="G23" s="3"/>
    </row>
    <row r="24" spans="1:7" ht="20.100000000000001" customHeight="1" thickBot="1" x14ac:dyDescent="0.3">
      <c r="A24" s="22"/>
      <c r="B24" s="14" t="s">
        <v>41</v>
      </c>
      <c r="C24" s="136" t="s">
        <v>26</v>
      </c>
      <c r="D24" s="91" t="s">
        <v>41</v>
      </c>
      <c r="E24" s="40" t="s">
        <v>0</v>
      </c>
      <c r="F24" s="88"/>
      <c r="G24" s="3"/>
    </row>
    <row r="25" spans="1:7" ht="20.100000000000001" customHeight="1" thickBot="1" x14ac:dyDescent="0.3">
      <c r="A25" s="22"/>
      <c r="B25" s="6">
        <v>23</v>
      </c>
      <c r="C25" s="130" t="s">
        <v>27</v>
      </c>
      <c r="D25" s="89" t="str">
        <f>IF(E25="1",Data!#REF!,IF(E25="2",Data!#REF!,IF(E25="3",Data!#REF!,IF(E25="4",Data!#REF!,""))))</f>
        <v/>
      </c>
      <c r="E25" s="131" t="str">
        <f>IF(MID($C$4,7,2)=".1",MID($C$4,28,1),MID($C$4,26,1))</f>
        <v/>
      </c>
      <c r="F25" s="88"/>
      <c r="G25" s="3"/>
    </row>
    <row r="26" spans="1:7" ht="20.100000000000001" customHeight="1" thickBot="1" x14ac:dyDescent="0.3">
      <c r="A26" s="22"/>
      <c r="B26" s="6">
        <v>24</v>
      </c>
      <c r="C26" s="130" t="s">
        <v>30</v>
      </c>
      <c r="D26" s="132" t="str">
        <f>IF(E26="1",Data!#REF!,IF(E26="2",Data!#REF!,IF(E26="3",Data!#REF!,IF(E26="x",Data!#REF!,""))))</f>
        <v/>
      </c>
      <c r="E26" s="131" t="str">
        <f>IF(MID($C$4,7,2)=".1",MID($C$4,29,1),MID($C$4,27,1))</f>
        <v/>
      </c>
      <c r="F26" s="88"/>
      <c r="G26" s="3"/>
    </row>
    <row r="27" spans="1:7" ht="15.75" thickBot="1" x14ac:dyDescent="0.3">
      <c r="A27" s="22"/>
      <c r="B27" s="6">
        <v>25</v>
      </c>
      <c r="C27" s="130" t="s">
        <v>57</v>
      </c>
      <c r="D27" s="132" t="str">
        <f>IF(E27="0",Data!#REF!,IF(E27="1",Data!#REF!,IF(E27="2",Data!#REF!,IF(E27="3",Data!#REF!,IF(E27="4",Data!#REF!,IF(E27="5",Data!#REF!,IF(E27="6",Data!#REF!,IF(E27="7",Data!#REF!,IF(E27="8",Data!#REF!,IF(E27="9",Data!#REF!,""))))))))))</f>
        <v/>
      </c>
      <c r="E27" s="131" t="str">
        <f>IF(MID($C$4,7,2)=".1",MID($C$4,30,1),MID($C$4,28,1))</f>
        <v/>
      </c>
      <c r="F27" s="88"/>
      <c r="G27" s="3"/>
    </row>
    <row r="28" spans="1:7" ht="20.100000000000001" customHeight="1" thickBot="1" x14ac:dyDescent="0.3">
      <c r="A28" s="22"/>
      <c r="B28" s="6">
        <v>26</v>
      </c>
      <c r="C28" s="130" t="s">
        <v>87</v>
      </c>
      <c r="D28" s="132" t="str">
        <f>IF(E28="00",Data!#REF!,IF(E28="01",Data!#REF!,IF(E28="02",Data!#REF!,IF(E28="03",Data!#REF!,IF(E28="04",Data!#REF!,IF(E28="05",Data!#REF!,IF(E28="06",Data!#REF!,IF(E28="07",Data!#REF!,IF(E28="08",Data!#REF!,IF(E28="09",Data!#REF!,IF(E28="10",Data!#REF!,IF(E28="xx",Data!#REF!,""))))))))))))</f>
        <v/>
      </c>
      <c r="E28" s="131" t="str">
        <f>IF(MID($C$4,7,2)=".1",MID($C$4,31,2),MID($C$4,29,2))</f>
        <v/>
      </c>
      <c r="F28" s="88"/>
      <c r="G28" s="3"/>
    </row>
    <row r="29" spans="1:7" ht="20.100000000000001" customHeight="1" thickBot="1" x14ac:dyDescent="0.3">
      <c r="A29" s="22"/>
      <c r="B29" s="6">
        <v>27</v>
      </c>
      <c r="C29" s="130" t="s">
        <v>73</v>
      </c>
      <c r="D29" s="132" t="str">
        <f>IF(E29="0",Data!#REF!,IF(E29="1",Data!#REF!,IF(E29="2",Data!#REF!,IF(E29="3",Data!#REF!,IF(E29="4",Data!#REF!,IF(E29="x",Data!#REF!,""))))))</f>
        <v/>
      </c>
      <c r="E29" s="131" t="str">
        <f>IF(MID($C$4,7,2)=".1",MID($C$4,33,1),MID($C$4,31,1))</f>
        <v/>
      </c>
      <c r="F29" s="88"/>
      <c r="G29" s="3"/>
    </row>
    <row r="30" spans="1:7" ht="20.100000000000001" customHeight="1" thickBot="1" x14ac:dyDescent="0.3">
      <c r="A30" s="22"/>
      <c r="B30" s="6">
        <v>28</v>
      </c>
      <c r="C30" s="130" t="s">
        <v>74</v>
      </c>
      <c r="D30" s="132" t="str">
        <f>IF(E30="0",Data!A33,IF(E30="1",Data!#REF!,IF(E30="2",Data!A34,IF(E30="x",Data!#REF!,""))))</f>
        <v/>
      </c>
      <c r="E30" s="131" t="str">
        <f>IF(MID($C$4,7,2)=".1",MID($C$4,34,1),MID($C$4,32,1))</f>
        <v/>
      </c>
      <c r="F30" s="88"/>
      <c r="G30" s="3"/>
    </row>
    <row r="31" spans="1:7" ht="20.100000000000001" customHeight="1" thickBot="1" x14ac:dyDescent="0.3">
      <c r="A31" s="22"/>
      <c r="B31" s="6">
        <v>29</v>
      </c>
      <c r="C31" s="130" t="s">
        <v>77</v>
      </c>
      <c r="D31" s="132" t="str">
        <f>IF(E31="00",Data!#REF!,IF(E31="01",Data!#REF!,IF(E31="02",Data!#REF!,IF(E31="03",Data!#REF!,IF(E31="04",Data!#REF!,IF(E31="05",Data!#REF!,IF(E31="06",Data!#REF!,IF(E31="07",Data!#REF!,IF(E31="08",Data!#REF!,IF(E31="09",Data!#REF!,IF(E31="10",Data!#REF!,IF(E31="11",Data!#REF!,IF(E31="12",Data!#REF!,IF(E31="13",Data!#REF!,IF(E31="14",Data!#REF!,IF(E31="xx",Data!#REF!,""))))))))))))))))</f>
        <v/>
      </c>
      <c r="E31" s="131" t="str">
        <f>IF(MID($C$4,7,2)=".1",MID($C$4,35,2),MID($C$4,33,2))</f>
        <v/>
      </c>
      <c r="F31" s="88"/>
      <c r="G31" s="3"/>
    </row>
    <row r="32" spans="1:7" ht="20.100000000000001" customHeight="1" thickBot="1" x14ac:dyDescent="0.3">
      <c r="A32" s="22"/>
      <c r="B32" s="6">
        <v>30</v>
      </c>
      <c r="C32" s="130" t="s">
        <v>78</v>
      </c>
      <c r="D32" s="132" t="str">
        <f>IF(E32="0",Data!#REF!,IF(E32="1",Data!#REF!,IF(E32="2",Data!#REF!,"")))</f>
        <v/>
      </c>
      <c r="E32" s="131" t="str">
        <f>IF(MID($C$4,7,2)=".1",MID($C$4,37,1),MID($C$4,35,1))</f>
        <v/>
      </c>
      <c r="F32" s="88"/>
      <c r="G32" s="3"/>
    </row>
    <row r="33" spans="1:7" ht="20.100000000000001" customHeight="1" thickBot="1" x14ac:dyDescent="0.3">
      <c r="A33" s="22"/>
      <c r="B33" s="6">
        <v>31</v>
      </c>
      <c r="C33" s="130" t="s">
        <v>79</v>
      </c>
      <c r="D33" s="132" t="str">
        <f>IF(E33="0",Data!#REF!,IF(E33="1",Data!#REF!,IF(E33="2",Data!#REF!,IF(E33="3",Data!#REF!,IF(E33="4",Data!#REF!,"")))))</f>
        <v/>
      </c>
      <c r="E33" s="131" t="str">
        <f>IF(MID($C$4,7,2)=".1",MID($C$4,38,1),MID($C$4,36,1))</f>
        <v/>
      </c>
      <c r="F33" s="88"/>
      <c r="G33" s="3"/>
    </row>
    <row r="34" spans="1:7" ht="20.100000000000001" customHeight="1" thickBot="1" x14ac:dyDescent="0.3">
      <c r="A34" s="22"/>
      <c r="B34" s="6">
        <v>32</v>
      </c>
      <c r="C34" s="130" t="s">
        <v>80</v>
      </c>
      <c r="D34" s="132" t="str">
        <f>IF(E34="0",Data!#REF!,IF(E34="1",Data!A36,IF(E34="2",Data!#REF!,IF(E34="3",Data!#REF!,IF(E34="4",Data!A37,IF(E34="5",Data!A38,IF(E34="x",Data!#REF!,"")))))))</f>
        <v/>
      </c>
      <c r="E34" s="131" t="str">
        <f>IF(MID($C$4,7,2)=".1",MID($C$4,39,1),MID($C$4,37,1))</f>
        <v/>
      </c>
      <c r="F34" s="88"/>
      <c r="G34" s="3"/>
    </row>
    <row r="35" spans="1:7" ht="20.100000000000001" customHeight="1" thickBot="1" x14ac:dyDescent="0.3">
      <c r="A35" s="22"/>
      <c r="B35" s="6">
        <v>33</v>
      </c>
      <c r="C35" s="130" t="s">
        <v>81</v>
      </c>
      <c r="D35" s="132" t="str">
        <f>IF(E35="00",Data!#REF!,IF(E35="01",Data!A40,IF(E35="02",Data!#REF!,IF(E35="03",Data!#REF!,IF(E35="04",Data!#REF!,IF(E35="05",Data!#REF!,IF(E35="06",Data!#REF!,IF(E35="07",Data!#REF!,IF(E35="08",Data!#REF!,IF(E35="09",Data!#REF!,IF(E35="10",Data!#REF!,IF(E35="11",Data!#REF!,IF(E35="12",Data!#REF!,IF(E35="13",Data!A41,IF(E35="14",Data!A42,IF(E35="15",Data!#REF!,IF(E35="xx",Data!#REF!,"")))))))))))))))))</f>
        <v/>
      </c>
      <c r="E35" s="131" t="str">
        <f>IF(MID($C$4,7,2)=".1",MID($C$4,40,2),MID($C$4,38,2))</f>
        <v/>
      </c>
      <c r="F35" s="88"/>
      <c r="G35" s="3"/>
    </row>
    <row r="36" spans="1:7" ht="20.100000000000001" customHeight="1" thickBot="1" x14ac:dyDescent="0.3">
      <c r="A36" s="22"/>
      <c r="B36" s="6">
        <v>34</v>
      </c>
      <c r="C36" s="130" t="s">
        <v>82</v>
      </c>
      <c r="D36" s="132" t="str">
        <f>IF(E36="0",Data!#REF!,IF(E36="1",Data!#REF!,IF(E36="2",Data!#REF!,IF(E36="3",Data!#REF!,IF(E36="4",Data!#REF!,IF(E36="x",Data!#REF!,""))))))</f>
        <v/>
      </c>
      <c r="E36" s="131" t="str">
        <f>IF(MID($C$4,7,2)=".1",MID($C$4,42,1),MID($C$4,40,1))</f>
        <v/>
      </c>
      <c r="F36" s="88"/>
      <c r="G36" s="3"/>
    </row>
    <row r="37" spans="1:7" ht="20.100000000000001" customHeight="1" thickBot="1" x14ac:dyDescent="0.3">
      <c r="A37" s="22"/>
      <c r="B37" s="6">
        <v>35</v>
      </c>
      <c r="C37" s="130" t="s">
        <v>83</v>
      </c>
      <c r="D37" s="132" t="str">
        <f>IF(E37="00",Data!#REF!,IF(E37="01",Data!#REF!,IF(E37="02",Data!#REF!,IF(E37="03",Data!#REF!,IF(E37="04",Data!#REF!,IF(E37="05",Data!#REF!,IF(E37="06",Data!#REF!,IF(E37="07",Data!#REF!,IF(E37="08",Data!#REF!,IF(E37="09",Data!#REF!,IF(E37="10",Data!#REF!,IF(E37="11",Data!#REF!,IF(E37="12",Data!#REF!,IF(E37="xx",Data!#REF!,""))))))))))))))</f>
        <v/>
      </c>
      <c r="E37" s="131" t="str">
        <f>IF(MID($C$4,7,2)=".1",MID($C$4,43,2),MID($C$4,41,2))</f>
        <v/>
      </c>
      <c r="F37" s="88"/>
      <c r="G37" s="3"/>
    </row>
    <row r="38" spans="1:7" ht="20.100000000000001" customHeight="1" thickBot="1" x14ac:dyDescent="0.3">
      <c r="A38" s="22"/>
      <c r="B38" s="6">
        <v>36</v>
      </c>
      <c r="C38" s="130" t="s">
        <v>84</v>
      </c>
      <c r="D38" s="132" t="str">
        <f>IF(E38="0",Data!#REF!,IF(E38="1",Data!#REF!,IF(E38="2",Data!#REF!,"")))</f>
        <v/>
      </c>
      <c r="E38" s="131" t="str">
        <f>IF(MID($C$4,7,2)=".1",MID($C$4,45,1),MID($C$4,43,1))</f>
        <v/>
      </c>
      <c r="F38" s="88"/>
      <c r="G38" s="3"/>
    </row>
    <row r="39" spans="1:7" ht="15.75" thickBot="1" x14ac:dyDescent="0.3">
      <c r="A39" s="22"/>
      <c r="B39" s="6">
        <v>37</v>
      </c>
      <c r="C39" s="130" t="s">
        <v>85</v>
      </c>
      <c r="D39" s="132" t="str">
        <f>IF(E39="1",Data!#REF!,IF(E39="2",Data!#REF!,""))</f>
        <v/>
      </c>
      <c r="E39" s="131" t="str">
        <f>IF(MID($C$4,7,2)=".1",MID($C$4,46,1),MID($C$4,44,1))</f>
        <v/>
      </c>
      <c r="F39" s="88"/>
      <c r="G39" s="3"/>
    </row>
    <row r="40" spans="1:7" ht="15.75" thickBot="1" x14ac:dyDescent="0.3">
      <c r="A40" s="22"/>
      <c r="B40" s="6">
        <v>38</v>
      </c>
      <c r="C40" s="130" t="s">
        <v>35</v>
      </c>
      <c r="D40" s="132" t="str">
        <f>IF(E40="1",Data!#REF!,IF(E40="2",Data!#REF!,IF(E40="3",Data!#REF!,IF(E40="4",Data!#REF!,IF(E40="5",Data!#REF!,IF(E40="6",Data!#REF!,""))))))</f>
        <v/>
      </c>
      <c r="E40" s="131" t="str">
        <f>IF(MID($C$4,7,2)=".1",MID($C$4,47,1),MID($C$4,45,1))</f>
        <v/>
      </c>
      <c r="F40" s="93"/>
    </row>
    <row r="41" spans="1:7" ht="16.5" thickBot="1" x14ac:dyDescent="0.3">
      <c r="A41" s="22"/>
      <c r="B41" s="14" t="s">
        <v>41</v>
      </c>
      <c r="C41" s="136" t="s">
        <v>42</v>
      </c>
      <c r="D41" s="91" t="s">
        <v>41</v>
      </c>
      <c r="E41" s="40" t="s">
        <v>0</v>
      </c>
      <c r="F41" s="88"/>
    </row>
    <row r="42" spans="1:7" ht="20.100000000000001" customHeight="1" thickBot="1" x14ac:dyDescent="0.3">
      <c r="A42" s="22"/>
      <c r="B42" s="6">
        <v>40</v>
      </c>
      <c r="C42" s="130" t="s">
        <v>33</v>
      </c>
      <c r="D42" s="132" t="str">
        <f>IF(E42="0",Data!A44,IF(E42="1",Data!#REF!,""))</f>
        <v/>
      </c>
      <c r="E42" s="131" t="str">
        <f>IF(MID($C$4,7,2)=".1",MID($C$4,49,1),MID($C$4,47,1))</f>
        <v/>
      </c>
      <c r="F42" s="93"/>
    </row>
    <row r="43" spans="1:7" ht="20.100000000000001" customHeight="1" thickBot="1" x14ac:dyDescent="0.3">
      <c r="A43" s="22"/>
      <c r="B43" s="6">
        <v>41</v>
      </c>
      <c r="C43" s="130" t="s">
        <v>54</v>
      </c>
      <c r="D43" s="132" t="str">
        <f>IF(E43="000","Komunikace není požadována - adresa neuvedena",IF(E43&gt;0,E43,""))</f>
        <v/>
      </c>
      <c r="E43" s="131" t="str">
        <f>IF(MID($C$4,7,2)=".1",MID($C$4,50,3),MID($C$4,48,3))</f>
        <v/>
      </c>
      <c r="F43" s="93"/>
    </row>
    <row r="44" spans="1:7" ht="15.75" thickBot="1" x14ac:dyDescent="0.3">
      <c r="A44" s="22"/>
      <c r="B44" s="6">
        <v>42</v>
      </c>
      <c r="C44" s="130" t="s">
        <v>55</v>
      </c>
      <c r="D44" s="132" t="str">
        <f>IF(E44="000","Komunikace není požadována - adresa neuvedena",IF(E44&gt;0,E44,""))</f>
        <v/>
      </c>
      <c r="E44" s="131" t="str">
        <f>IF(MID($C$4,7,2)=".1",MID($C$4,53,3),MID($C$4,51,3))</f>
        <v/>
      </c>
      <c r="F44" s="88"/>
    </row>
    <row r="45" spans="1:7" ht="20.100000000000001" customHeight="1" thickBot="1" x14ac:dyDescent="0.3">
      <c r="A45" s="22"/>
      <c r="B45" s="6">
        <v>43</v>
      </c>
      <c r="C45" s="130" t="s">
        <v>36</v>
      </c>
      <c r="D45" s="132" t="str">
        <f>IF(E45="0",Data!#REF!,IF(E45="1",Data!#REF!,IF(E45="2",Data!#REF!,IF(E45="3",Data!#REF!,IF(E45="4",Data!#REF!,"")))))</f>
        <v/>
      </c>
      <c r="E45" s="131" t="str">
        <f>IF(MID($C$4,7,2)=".1",MID($C$4,56,1),MID($C$4,54,1))</f>
        <v/>
      </c>
      <c r="F45" s="93"/>
    </row>
    <row r="46" spans="1:7" ht="20.100000000000001" customHeight="1" thickBot="1" x14ac:dyDescent="0.3">
      <c r="A46" s="22"/>
      <c r="B46" s="6">
        <v>44</v>
      </c>
      <c r="C46" s="130" t="s">
        <v>34</v>
      </c>
      <c r="D46" s="132" t="str">
        <f>IF(E46="0",Data!#REF!,IF(E46="1",Data!#REF!,IF(E46="2",Data!#REF!,IF(E46="3",Data!#REF!,IF(E46="4",Data!#REF!,IF(E46="5",Data!#REF!,""))))))</f>
        <v/>
      </c>
      <c r="E46" s="131" t="str">
        <f>IF(MID($C$4,7,2)=".1",MID($C$4,57,1),MID($C$4,55,1))</f>
        <v/>
      </c>
      <c r="F46" s="93"/>
    </row>
    <row r="47" spans="1:7" ht="20.100000000000001" customHeight="1" thickBot="1" x14ac:dyDescent="0.3">
      <c r="A47" s="22"/>
      <c r="B47" s="14" t="s">
        <v>41</v>
      </c>
      <c r="C47" s="8" t="s">
        <v>67</v>
      </c>
      <c r="D47" s="91" t="s">
        <v>41</v>
      </c>
      <c r="E47" s="40" t="s">
        <v>0</v>
      </c>
      <c r="F47" s="93"/>
    </row>
    <row r="48" spans="1:7" ht="20.100000000000001" customHeight="1" thickBot="1" x14ac:dyDescent="0.3">
      <c r="A48" s="22"/>
      <c r="B48" s="6">
        <v>46</v>
      </c>
      <c r="C48" s="5" t="s">
        <v>86</v>
      </c>
      <c r="D48" s="132" t="str">
        <f>IF(E48="0",Data!A50,IF(E48="1",Data!A51,IF(E48="2",Data!A56,IF(E48="5",Data!#REF!,IF(E48="6",Data!#REF!,IF(E48="x",Data!A57,""))))))</f>
        <v/>
      </c>
      <c r="E48" s="131" t="str">
        <f>IF(MID($C$4,7,2)=".1",MID($C$4,59,1),MID($C$4,57,1))</f>
        <v/>
      </c>
      <c r="F48" s="93"/>
    </row>
    <row r="49" spans="1:6" ht="20.100000000000001" customHeight="1" thickBot="1" x14ac:dyDescent="0.3">
      <c r="A49" s="22"/>
      <c r="B49" s="14" t="s">
        <v>41</v>
      </c>
      <c r="C49" s="8" t="s">
        <v>37</v>
      </c>
      <c r="D49" s="91" t="s">
        <v>41</v>
      </c>
      <c r="E49" s="40" t="s">
        <v>0</v>
      </c>
      <c r="F49" s="93"/>
    </row>
    <row r="50" spans="1:6" ht="15.75" thickBot="1" x14ac:dyDescent="0.3">
      <c r="A50" s="22"/>
      <c r="B50" s="6">
        <v>48</v>
      </c>
      <c r="C50" s="5" t="s">
        <v>58</v>
      </c>
      <c r="D50" s="138" t="str">
        <f>IF(E50="000","0",IF(E50&gt;0,E50,""))</f>
        <v/>
      </c>
      <c r="E50" s="131" t="str">
        <f>IF(MID($C$4,7,2)=".1",MID($C$4,61,3),MID($C$4,59,3))</f>
        <v/>
      </c>
      <c r="F50" s="88"/>
    </row>
    <row r="51" spans="1:6" ht="15.75" thickBot="1" x14ac:dyDescent="0.3">
      <c r="A51" s="22"/>
      <c r="B51" s="6">
        <v>49</v>
      </c>
      <c r="C51" s="5" t="s">
        <v>38</v>
      </c>
      <c r="D51" s="132" t="str">
        <f>IF(E51="0",Data!A61,IF(E51="1",Data!A62,IF(E51="x",Data!A63,"")))</f>
        <v/>
      </c>
      <c r="E51" s="131" t="str">
        <f>IF(MID($C$4,7,2)=".1",MID($C$4,64,1),MID($C$4,62,1))</f>
        <v/>
      </c>
      <c r="F51" s="93"/>
    </row>
    <row r="52" spans="1:6" ht="15.75" thickBot="1" x14ac:dyDescent="0.3">
      <c r="A52" s="22"/>
      <c r="B52" s="6">
        <v>50</v>
      </c>
      <c r="C52" s="5" t="s">
        <v>39</v>
      </c>
      <c r="D52" s="132" t="str">
        <f>IF(E52="1",Data!A65,IF(E52="2",Data!A66,IF(E52="3",Data!A67,IF(E52="x",Data!A68,""))))</f>
        <v/>
      </c>
      <c r="E52" s="131" t="str">
        <f>IF(MID($C$4,7,2)=".1",MID($C$4,65,1),MID($C$4,63,1))</f>
        <v/>
      </c>
      <c r="F52" s="88"/>
    </row>
    <row r="53" spans="1:6" ht="20.100000000000001" customHeight="1" thickBot="1" x14ac:dyDescent="0.3">
      <c r="A53" s="22"/>
      <c r="B53" s="6">
        <v>51</v>
      </c>
      <c r="C53" s="5" t="s">
        <v>40</v>
      </c>
      <c r="D53" s="132" t="str">
        <f>IF(E53="1",Data!A70,IF(E53="2",Data!A71,IF(E53="3",Data!A72,IF(E53="4",Data!A73,IF(E53="5",Data!A74,IF(E53="x",Data!A75,""))))))</f>
        <v/>
      </c>
      <c r="E53" s="131" t="str">
        <f>IF(MID($C$4,7,2)=".1",MID($C$4,66,1),MID($C$4,64,1))</f>
        <v/>
      </c>
      <c r="F53" s="93"/>
    </row>
    <row r="54" spans="1:6" ht="20.100000000000001" customHeight="1" thickBot="1" x14ac:dyDescent="0.3">
      <c r="A54" s="22"/>
      <c r="B54" s="14" t="s">
        <v>41</v>
      </c>
      <c r="C54" s="8" t="s">
        <v>43</v>
      </c>
      <c r="D54" s="91" t="s">
        <v>41</v>
      </c>
      <c r="E54" s="40" t="s">
        <v>0</v>
      </c>
      <c r="F54" s="93"/>
    </row>
    <row r="55" spans="1:6" ht="20.100000000000001" customHeight="1" thickBot="1" x14ac:dyDescent="0.3">
      <c r="A55" s="22"/>
      <c r="B55" s="71">
        <v>53</v>
      </c>
      <c r="C55" s="72" t="s">
        <v>56</v>
      </c>
      <c r="D55" s="132" t="str">
        <f>IF(E55="1",Data!#REF!,IF(E55="2",Data!#REF!,""))</f>
        <v/>
      </c>
      <c r="E55" s="131" t="str">
        <f>IF(MID($C$4,7,2)=".1",MID($C$4,68,1),MID($C$4,66,1))</f>
        <v/>
      </c>
      <c r="F55" s="139"/>
    </row>
    <row r="56" spans="1:6" ht="9.75" customHeight="1" thickBot="1" x14ac:dyDescent="0.3">
      <c r="A56" s="22"/>
      <c r="B56" s="22"/>
      <c r="C56" s="22"/>
      <c r="D56" s="22"/>
      <c r="E56" s="37"/>
      <c r="F56" s="94"/>
    </row>
    <row r="57" spans="1:6" ht="23.25" customHeight="1" x14ac:dyDescent="0.25">
      <c r="A57" s="22"/>
      <c r="B57" s="95"/>
      <c r="C57" s="96" t="s">
        <v>63</v>
      </c>
      <c r="D57" s="97"/>
      <c r="E57" s="59"/>
      <c r="F57" s="98"/>
    </row>
    <row r="58" spans="1:6" ht="69.75" customHeight="1" x14ac:dyDescent="0.25">
      <c r="A58" s="22"/>
      <c r="B58" s="99"/>
      <c r="C58" s="234"/>
      <c r="D58" s="237"/>
      <c r="E58" s="60"/>
      <c r="F58" s="100"/>
    </row>
    <row r="59" spans="1:6" ht="8.25" customHeight="1" thickBot="1" x14ac:dyDescent="0.3">
      <c r="A59" s="22"/>
      <c r="B59" s="99"/>
      <c r="C59" s="63"/>
      <c r="D59" s="63"/>
      <c r="E59" s="60"/>
      <c r="F59" s="100"/>
    </row>
    <row r="60" spans="1:6" ht="17.45" customHeight="1" thickBot="1" x14ac:dyDescent="0.3">
      <c r="A60" s="22"/>
      <c r="B60" s="101"/>
      <c r="C60" s="102" t="s">
        <v>64</v>
      </c>
      <c r="D60" s="49"/>
      <c r="E60" s="60"/>
      <c r="F60" s="100"/>
    </row>
    <row r="61" spans="1:6" ht="17.45" customHeight="1" x14ac:dyDescent="0.25">
      <c r="A61" s="22"/>
      <c r="B61" s="101"/>
      <c r="C61" s="102" t="s">
        <v>65</v>
      </c>
      <c r="D61" s="39"/>
      <c r="E61" s="60"/>
      <c r="F61" s="100"/>
    </row>
    <row r="62" spans="1:6" ht="15.75" thickBot="1" x14ac:dyDescent="0.3">
      <c r="A62" s="22"/>
      <c r="B62" s="103"/>
      <c r="C62" s="64"/>
      <c r="D62" s="64"/>
      <c r="E62" s="61"/>
      <c r="F62" s="104"/>
    </row>
    <row r="63" spans="1:6" x14ac:dyDescent="0.25">
      <c r="B63" s="34"/>
      <c r="C63" s="34"/>
      <c r="D63" s="34"/>
      <c r="E63" s="35"/>
      <c r="F63" s="34"/>
    </row>
  </sheetData>
  <sheetProtection algorithmName="SHA-512" hashValue="Eiuae3QiWask6jqTVctm6QqsIPKlJ+9anHLsKAANmVLQyWn9LU4ovE4b9bx0JyINVd2KT4WhWSJeKNvNApcIaQ==" saltValue="55EKKngQYq56IO7PyWIvag==" spinCount="100000" sheet="1" formatRows="0"/>
  <mergeCells count="1">
    <mergeCell ref="C58:D58"/>
  </mergeCells>
  <pageMargins left="0.62992125984251968" right="0.23622047244094491" top="0.74803149606299213" bottom="0.74803149606299213" header="0.31496062992125984" footer="0.31496062992125984"/>
  <pageSetup paperSize="9" scale="91" fitToHeight="0" orientation="portrait" r:id="rId1"/>
  <headerFooter>
    <oddFooter>&amp;L&amp;"-,Kurzíva"&amp;10Tisk dne: &amp;D&amp;C&amp;"-,Kurzíva"&amp;10&amp;F&amp;R&amp;"-,Kurzíva"&amp;10&amp;P / &amp;N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4</vt:i4>
      </vt:variant>
      <vt:variant>
        <vt:lpstr>Pojmenované oblasti</vt:lpstr>
      </vt:variant>
      <vt:variant>
        <vt:i4>28</vt:i4>
      </vt:variant>
    </vt:vector>
  </HeadingPairs>
  <TitlesOfParts>
    <vt:vector size="32" baseType="lpstr">
      <vt:lpstr>Specifikace</vt:lpstr>
      <vt:lpstr>Data</vt:lpstr>
      <vt:lpstr>Tech</vt:lpstr>
      <vt:lpstr>Dekod</vt:lpstr>
      <vt:lpstr>Dekod!Hodnoty</vt:lpstr>
      <vt:lpstr>Hodnoty</vt:lpstr>
      <vt:lpstr>Dekod!HodnotyHW</vt:lpstr>
      <vt:lpstr>HodnotyHW</vt:lpstr>
      <vt:lpstr>Dekod!KodyOC</vt:lpstr>
      <vt:lpstr>KodyOC</vt:lpstr>
      <vt:lpstr>Dekod!KodyOC_HW</vt:lpstr>
      <vt:lpstr>KodyOC_HW</vt:lpstr>
      <vt:lpstr>NezadanHW</vt:lpstr>
      <vt:lpstr>Nezadano</vt:lpstr>
      <vt:lpstr>Dekod!Oblast_tisku</vt:lpstr>
      <vt:lpstr>Specifikace!Oblast_tisku</vt:lpstr>
      <vt:lpstr>OC_B</vt:lpstr>
      <vt:lpstr>OC_DC</vt:lpstr>
      <vt:lpstr>OC_DK</vt:lpstr>
      <vt:lpstr>OC_JO</vt:lpstr>
      <vt:lpstr>OC_JOP</vt:lpstr>
      <vt:lpstr>OC_KCsS</vt:lpstr>
      <vt:lpstr>OC_MP</vt:lpstr>
      <vt:lpstr>OC_PC</vt:lpstr>
      <vt:lpstr>OC_PV</vt:lpstr>
      <vt:lpstr>OC_R</vt:lpstr>
      <vt:lpstr>OC_Z</vt:lpstr>
      <vt:lpstr>OC_ZP</vt:lpstr>
      <vt:lpstr>Dekod!Parametry</vt:lpstr>
      <vt:lpstr>Parametry</vt:lpstr>
      <vt:lpstr>Preddef_hodn</vt:lpstr>
      <vt:lpstr>SoupisNP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Vladimír Chvojka</dc:creator>
  <cp:lastModifiedBy>Vladimír Chvojka</cp:lastModifiedBy>
  <cp:lastPrinted>2024-01-24T12:18:17Z</cp:lastPrinted>
  <dcterms:created xsi:type="dcterms:W3CDTF">2019-05-29T08:44:12Z</dcterms:created>
  <dcterms:modified xsi:type="dcterms:W3CDTF">2024-01-24T12:18:31Z</dcterms:modified>
</cp:coreProperties>
</file>